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4"/>
  <workbookPr codeName="ThisWorkbook"/>
  <mc:AlternateContent xmlns:mc="http://schemas.openxmlformats.org/markup-compatibility/2006">
    <mc:Choice Requires="x15">
      <x15ac:absPath xmlns:x15ac="http://schemas.microsoft.com/office/spreadsheetml/2010/11/ac" url="/Users/alexahall/Downloads/"/>
    </mc:Choice>
  </mc:AlternateContent>
  <xr:revisionPtr revIDLastSave="0" documentId="13_ncr:1_{770672AA-6357-5B48-99DC-DD48E4F94FF6}" xr6:coauthVersionLast="45" xr6:coauthVersionMax="45" xr10:uidLastSave="{00000000-0000-0000-0000-000000000000}"/>
  <bookViews>
    <workbookView xWindow="0" yWindow="460" windowWidth="28800" windowHeight="16160" activeTab="2" xr2:uid="{00000000-000D-0000-FFFF-FFFF00000000}"/>
  </bookViews>
  <sheets>
    <sheet name="Summary" sheetId="7" r:id="rId1"/>
    <sheet name="Graphs" sheetId="8" r:id="rId2"/>
    <sheet name="Model" sheetId="6" r:id="rId3"/>
    <sheet name="Revenue" sheetId="15" r:id="rId4"/>
    <sheet name="HC" sheetId="2" r:id="rId5"/>
    <sheet name="Support&gt;&gt;" sheetId="18" r:id="rId6"/>
    <sheet name="PIVOT (2)" sheetId="17" r:id="rId7"/>
    <sheet name="PIVOT" sheetId="4" r:id="rId8"/>
    <sheet name="Raw Sales Data" sheetId="1" r:id="rId9"/>
    <sheet name="Deal Size Analysis" sheetId="9" r:id="rId10"/>
  </sheets>
  <definedNames>
    <definedName name="_xlnm._FilterDatabase" localSheetId="8" hidden="1">'Raw Sales Data'!$A$1:$G$527</definedName>
    <definedName name="_xlcn.WorksheetConnection_TrustpilotFinancialAnalystAssignmentDataOriginal.xlsxTPData1" hidden="1">TPData[]</definedName>
    <definedName name="Historical_On?">Model!$C$1</definedName>
    <definedName name="Historical_Perf_Avg?">Model!$C$5</definedName>
    <definedName name="Historical_Perf_Exact?">Model!$C$1</definedName>
    <definedName name="S2_On?">Model!$C$5</definedName>
  </definedNames>
  <calcPr calcId="191029" iterate="1"/>
  <pivotCaches>
    <pivotCache cacheId="0" r:id="rId11"/>
    <pivotCache cacheId="1" r:id="rId12"/>
    <pivotCache cacheId="2" r:id="rId13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PData" name="TPData" connection="WorksheetConnection_Trustpilot Financial Analyst Assignment - Data Original.xlsx!TPData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85" i="6" l="1"/>
  <c r="AE21" i="6"/>
  <c r="AE68" i="6"/>
  <c r="H71" i="6"/>
  <c r="I41" i="6"/>
  <c r="J41" i="6"/>
  <c r="K41" i="6"/>
  <c r="L41" i="6"/>
  <c r="M41" i="6"/>
  <c r="N41" i="6"/>
  <c r="O41" i="6"/>
  <c r="P41" i="6"/>
  <c r="Q41" i="6"/>
  <c r="R41" i="6"/>
  <c r="S41" i="6"/>
  <c r="T41" i="6"/>
  <c r="H41" i="6"/>
  <c r="I39" i="6"/>
  <c r="J39" i="6"/>
  <c r="K39" i="6"/>
  <c r="L39" i="6"/>
  <c r="M39" i="6"/>
  <c r="N39" i="6"/>
  <c r="O39" i="6"/>
  <c r="P39" i="6"/>
  <c r="Q39" i="6"/>
  <c r="R39" i="6"/>
  <c r="S39" i="6"/>
  <c r="T39" i="6"/>
  <c r="H39" i="6"/>
  <c r="AC14" i="6"/>
  <c r="AD41" i="6"/>
  <c r="AE41" i="6"/>
  <c r="AF41" i="6"/>
  <c r="AG41" i="6"/>
  <c r="AH41" i="6"/>
  <c r="AI41" i="6"/>
  <c r="AJ41" i="6"/>
  <c r="AK41" i="6"/>
  <c r="AL41" i="6"/>
  <c r="AM41" i="6"/>
  <c r="AN41" i="6"/>
  <c r="AC41" i="6"/>
  <c r="AD39" i="6"/>
  <c r="AE39" i="6"/>
  <c r="AF39" i="6"/>
  <c r="AG39" i="6"/>
  <c r="AH39" i="6"/>
  <c r="AI39" i="6"/>
  <c r="AJ39" i="6"/>
  <c r="AK39" i="6"/>
  <c r="AL39" i="6"/>
  <c r="AM39" i="6"/>
  <c r="AN39" i="6"/>
  <c r="AC39" i="6"/>
  <c r="L14" i="1" l="1"/>
  <c r="AD40" i="6"/>
  <c r="AE40" i="6"/>
  <c r="AF40" i="6"/>
  <c r="AG40" i="6"/>
  <c r="AH40" i="6"/>
  <c r="AI40" i="6"/>
  <c r="AJ40" i="6"/>
  <c r="AK40" i="6"/>
  <c r="AL40" i="6"/>
  <c r="AM40" i="6"/>
  <c r="AN40" i="6"/>
  <c r="AD42" i="6"/>
  <c r="AE42" i="6"/>
  <c r="AF42" i="6"/>
  <c r="AG42" i="6"/>
  <c r="AH42" i="6"/>
  <c r="AI42" i="6"/>
  <c r="AJ42" i="6"/>
  <c r="AK42" i="6"/>
  <c r="AL42" i="6"/>
  <c r="AM42" i="6"/>
  <c r="AN42" i="6"/>
  <c r="AD43" i="6"/>
  <c r="AE43" i="6"/>
  <c r="AF43" i="6"/>
  <c r="AG43" i="6"/>
  <c r="AH43" i="6"/>
  <c r="AI43" i="6"/>
  <c r="AJ43" i="6"/>
  <c r="AK43" i="6"/>
  <c r="AL43" i="6"/>
  <c r="AM43" i="6"/>
  <c r="AN43" i="6"/>
  <c r="AD44" i="6"/>
  <c r="AE44" i="6"/>
  <c r="AF44" i="6"/>
  <c r="AG44" i="6"/>
  <c r="AH44" i="6"/>
  <c r="AI44" i="6"/>
  <c r="AJ44" i="6"/>
  <c r="AK44" i="6"/>
  <c r="AL44" i="6"/>
  <c r="AM44" i="6"/>
  <c r="AN44" i="6"/>
  <c r="AD45" i="6"/>
  <c r="AE45" i="6"/>
  <c r="AF45" i="6"/>
  <c r="AG45" i="6"/>
  <c r="AH45" i="6"/>
  <c r="AI45" i="6"/>
  <c r="AJ45" i="6"/>
  <c r="AK45" i="6"/>
  <c r="AL45" i="6"/>
  <c r="AM45" i="6"/>
  <c r="AN45" i="6"/>
  <c r="AD46" i="6"/>
  <c r="AE46" i="6"/>
  <c r="AF46" i="6"/>
  <c r="AG46" i="6"/>
  <c r="AH46" i="6"/>
  <c r="AI46" i="6"/>
  <c r="AJ46" i="6"/>
  <c r="AK46" i="6"/>
  <c r="AL46" i="6"/>
  <c r="AM46" i="6"/>
  <c r="AN46" i="6"/>
  <c r="AC46" i="6"/>
  <c r="AC45" i="6"/>
  <c r="AC44" i="6"/>
  <c r="AC43" i="6"/>
  <c r="AC42" i="6"/>
  <c r="AC40" i="6"/>
  <c r="T51" i="6"/>
  <c r="T53" i="6" s="1"/>
  <c r="XFD22" i="4"/>
  <c r="Q28" i="15"/>
  <c r="AC36" i="6"/>
  <c r="S53" i="6"/>
  <c r="R53" i="6"/>
  <c r="Q53" i="6"/>
  <c r="P53" i="6"/>
  <c r="O53" i="6"/>
  <c r="N53" i="6"/>
  <c r="M53" i="6"/>
  <c r="L53" i="6"/>
  <c r="K53" i="6"/>
  <c r="J53" i="6"/>
  <c r="I53" i="6"/>
  <c r="H53" i="6"/>
  <c r="H36" i="6"/>
  <c r="I36" i="6" s="1"/>
  <c r="J36" i="6" s="1"/>
  <c r="K36" i="6" s="1"/>
  <c r="L36" i="6" s="1"/>
  <c r="M36" i="6" s="1"/>
  <c r="N36" i="6" s="1"/>
  <c r="O36" i="6" s="1"/>
  <c r="P36" i="6" s="1"/>
  <c r="Q36" i="6" s="1"/>
  <c r="R36" i="6" s="1"/>
  <c r="S36" i="6" s="1"/>
  <c r="L13" i="1"/>
  <c r="L12" i="1"/>
  <c r="H119" i="8"/>
  <c r="O4" i="15"/>
  <c r="F119" i="8"/>
  <c r="C119" i="8"/>
  <c r="L119" i="8"/>
  <c r="I119" i="8"/>
  <c r="D119" i="8"/>
  <c r="E119" i="8"/>
  <c r="B127" i="8"/>
  <c r="N119" i="8"/>
  <c r="B6" i="15"/>
  <c r="K119" i="8"/>
  <c r="M119" i="8"/>
  <c r="J119" i="8"/>
  <c r="G119" i="8"/>
  <c r="AD36" i="6" l="1"/>
  <c r="AE36" i="6" s="1"/>
  <c r="AF36" i="6" s="1"/>
  <c r="AG36" i="6" s="1"/>
  <c r="AH36" i="6" s="1"/>
  <c r="AI36" i="6" s="1"/>
  <c r="AJ36" i="6" s="1"/>
  <c r="AK36" i="6" s="1"/>
  <c r="AL36" i="6" s="1"/>
  <c r="AM36" i="6" s="1"/>
  <c r="AN36" i="6" s="1"/>
  <c r="S52" i="6"/>
  <c r="T52" i="6" s="1"/>
  <c r="R52" i="6"/>
  <c r="R56" i="6" s="1"/>
  <c r="Q52" i="6"/>
  <c r="Q56" i="6" s="1"/>
  <c r="Q57" i="6" s="1"/>
  <c r="P52" i="6"/>
  <c r="O52" i="6"/>
  <c r="O56" i="6" s="1"/>
  <c r="N52" i="6"/>
  <c r="N56" i="6" s="1"/>
  <c r="M52" i="6"/>
  <c r="M56" i="6" s="1"/>
  <c r="M57" i="6" s="1"/>
  <c r="L52" i="6"/>
  <c r="K52" i="6"/>
  <c r="K56" i="6" s="1"/>
  <c r="J52" i="6"/>
  <c r="J56" i="6" s="1"/>
  <c r="I52" i="6"/>
  <c r="I56" i="6" s="1"/>
  <c r="I57" i="6" s="1"/>
  <c r="H52" i="6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2" i="1"/>
  <c r="H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AN90" i="6"/>
  <c r="AM90" i="6"/>
  <c r="AL90" i="6"/>
  <c r="AK90" i="6"/>
  <c r="AJ90" i="6"/>
  <c r="AI90" i="6"/>
  <c r="AH90" i="6"/>
  <c r="AG90" i="6"/>
  <c r="AF90" i="6"/>
  <c r="AE90" i="6"/>
  <c r="AD90" i="6"/>
  <c r="AC90" i="6"/>
  <c r="H56" i="6"/>
  <c r="H55" i="6" s="1"/>
  <c r="P56" i="6"/>
  <c r="AD49" i="6"/>
  <c r="AE50" i="6" s="1"/>
  <c r="AE49" i="6"/>
  <c r="AF50" i="6" s="1"/>
  <c r="AF49" i="6"/>
  <c r="AG50" i="6" s="1"/>
  <c r="AG49" i="6"/>
  <c r="AH50" i="6" s="1"/>
  <c r="AH49" i="6"/>
  <c r="AI50" i="6" s="1"/>
  <c r="AI49" i="6"/>
  <c r="AJ50" i="6" s="1"/>
  <c r="AJ49" i="6"/>
  <c r="AK50" i="6" s="1"/>
  <c r="AK49" i="6"/>
  <c r="AL50" i="6" s="1"/>
  <c r="AL49" i="6"/>
  <c r="AM50" i="6" s="1"/>
  <c r="AM49" i="6"/>
  <c r="AN50" i="6" s="1"/>
  <c r="AN49" i="6"/>
  <c r="AC49" i="6"/>
  <c r="I21" i="6"/>
  <c r="J21" i="6"/>
  <c r="K21" i="6"/>
  <c r="L21" i="6"/>
  <c r="M21" i="6"/>
  <c r="N21" i="6"/>
  <c r="O21" i="6"/>
  <c r="P21" i="6"/>
  <c r="Q21" i="6"/>
  <c r="R21" i="6"/>
  <c r="S21" i="6"/>
  <c r="H21" i="6"/>
  <c r="H23" i="6" s="1"/>
  <c r="D6" i="2"/>
  <c r="D7" i="2" s="1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F17" i="2" s="1"/>
  <c r="F18" i="2" s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33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C18" i="2"/>
  <c r="S56" i="6" l="1"/>
  <c r="T56" i="6" s="1"/>
  <c r="D18" i="2"/>
  <c r="AN56" i="6"/>
  <c r="AO56" i="6" s="1"/>
  <c r="F6" i="2"/>
  <c r="AC52" i="6"/>
  <c r="AO90" i="6"/>
  <c r="L5" i="1"/>
  <c r="K6" i="1"/>
  <c r="L6" i="1"/>
  <c r="K5" i="1"/>
  <c r="L7" i="1"/>
  <c r="K8" i="1"/>
  <c r="L8" i="1"/>
  <c r="K7" i="1"/>
  <c r="L56" i="6"/>
  <c r="L57" i="6" s="1"/>
  <c r="C21" i="6"/>
  <c r="AD50" i="6"/>
  <c r="P55" i="6"/>
  <c r="K57" i="6"/>
  <c r="R55" i="6"/>
  <c r="N55" i="6"/>
  <c r="J55" i="6"/>
  <c r="S57" i="6"/>
  <c r="T57" i="6" s="1"/>
  <c r="O57" i="6"/>
  <c r="H57" i="6"/>
  <c r="R57" i="6"/>
  <c r="N57" i="6"/>
  <c r="J57" i="6"/>
  <c r="P57" i="6"/>
  <c r="Q55" i="6"/>
  <c r="I55" i="6"/>
  <c r="P22" i="6"/>
  <c r="L22" i="6"/>
  <c r="S55" i="6"/>
  <c r="O55" i="6"/>
  <c r="K55" i="6"/>
  <c r="J22" i="6"/>
  <c r="F13" i="2"/>
  <c r="AJ56" i="6" s="1"/>
  <c r="AJ86" i="6" s="1"/>
  <c r="F9" i="2"/>
  <c r="F16" i="2"/>
  <c r="F12" i="2"/>
  <c r="F8" i="2"/>
  <c r="AE56" i="6" s="1"/>
  <c r="AE86" i="6" s="1"/>
  <c r="F15" i="2"/>
  <c r="AL56" i="6" s="1"/>
  <c r="AL86" i="6" s="1"/>
  <c r="F11" i="2"/>
  <c r="F7" i="2"/>
  <c r="F14" i="2"/>
  <c r="F10" i="2"/>
  <c r="AG56" i="6" s="1"/>
  <c r="AG86" i="6" s="1"/>
  <c r="K22" i="6"/>
  <c r="N22" i="6"/>
  <c r="R22" i="6"/>
  <c r="S22" i="6"/>
  <c r="O22" i="6"/>
  <c r="Q22" i="6"/>
  <c r="M22" i="6"/>
  <c r="I22" i="6"/>
  <c r="I23" i="6"/>
  <c r="B13" i="15"/>
  <c r="H4" i="15"/>
  <c r="C4" i="15"/>
  <c r="J4" i="15"/>
  <c r="B18" i="15"/>
  <c r="C527" i="9"/>
  <c r="B527" i="9"/>
  <c r="B511" i="9"/>
  <c r="B495" i="9"/>
  <c r="B479" i="9"/>
  <c r="B463" i="9"/>
  <c r="B447" i="9"/>
  <c r="B431" i="9"/>
  <c r="C518" i="9"/>
  <c r="C496" i="9"/>
  <c r="C475" i="9"/>
  <c r="B454" i="9"/>
  <c r="C432" i="9"/>
  <c r="B414" i="9"/>
  <c r="B398" i="9"/>
  <c r="B382" i="9"/>
  <c r="B366" i="9"/>
  <c r="B350" i="9"/>
  <c r="B334" i="9"/>
  <c r="B318" i="9"/>
  <c r="B302" i="9"/>
  <c r="B286" i="9"/>
  <c r="B270" i="9"/>
  <c r="B254" i="9"/>
  <c r="B238" i="9"/>
  <c r="B222" i="9"/>
  <c r="B206" i="9"/>
  <c r="B190" i="9"/>
  <c r="B174" i="9"/>
  <c r="B158" i="9"/>
  <c r="B142" i="9"/>
  <c r="B126" i="9"/>
  <c r="B110" i="9"/>
  <c r="B94" i="9"/>
  <c r="B78" i="9"/>
  <c r="B530" i="9"/>
  <c r="C497" i="9"/>
  <c r="C468" i="9"/>
  <c r="B440" i="9"/>
  <c r="C414" i="9"/>
  <c r="B393" i="9"/>
  <c r="C371" i="9"/>
  <c r="C350" i="9"/>
  <c r="B329" i="9"/>
  <c r="C307" i="9"/>
  <c r="C286" i="9"/>
  <c r="B265" i="9"/>
  <c r="C243" i="9"/>
  <c r="C222" i="9"/>
  <c r="B201" i="9"/>
  <c r="C179" i="9"/>
  <c r="C158" i="9"/>
  <c r="B137" i="9"/>
  <c r="C115" i="9"/>
  <c r="C94" i="9"/>
  <c r="B73" i="9"/>
  <c r="C54" i="9"/>
  <c r="C38" i="9"/>
  <c r="C22" i="9"/>
  <c r="C6" i="9"/>
  <c r="C528" i="9"/>
  <c r="B496" i="9"/>
  <c r="B468" i="9"/>
  <c r="C439" i="9"/>
  <c r="C413" i="9"/>
  <c r="C392" i="9"/>
  <c r="B371" i="9"/>
  <c r="C349" i="9"/>
  <c r="C328" i="9"/>
  <c r="B307" i="9"/>
  <c r="C285" i="9"/>
  <c r="C264" i="9"/>
  <c r="B243" i="9"/>
  <c r="C221" i="9"/>
  <c r="C200" i="9"/>
  <c r="B179" i="9"/>
  <c r="C157" i="9"/>
  <c r="C136" i="9"/>
  <c r="B115" i="9"/>
  <c r="C93" i="9"/>
  <c r="C72" i="9"/>
  <c r="B54" i="9"/>
  <c r="B38" i="9"/>
  <c r="B22" i="9"/>
  <c r="B6" i="9"/>
  <c r="C513" i="9"/>
  <c r="C484" i="9"/>
  <c r="B456" i="9"/>
  <c r="B428" i="9"/>
  <c r="B405" i="9"/>
  <c r="C420" i="9"/>
  <c r="C364" i="9"/>
  <c r="C321" i="9"/>
  <c r="B279" i="9"/>
  <c r="C236" i="9"/>
  <c r="C193" i="9"/>
  <c r="B151" i="9"/>
  <c r="C108" i="9"/>
  <c r="C65" i="9"/>
  <c r="B33" i="9"/>
  <c r="C458" i="9"/>
  <c r="C378" i="9"/>
  <c r="C335" i="9"/>
  <c r="B293" i="9"/>
  <c r="C250" i="9"/>
  <c r="C207" i="9"/>
  <c r="B165" i="9"/>
  <c r="C122" i="9"/>
  <c r="C79" i="9"/>
  <c r="C43" i="9"/>
  <c r="C11" i="9"/>
  <c r="B512" i="9"/>
  <c r="C404" i="9"/>
  <c r="C356" i="9"/>
  <c r="C313" i="9"/>
  <c r="B271" i="9"/>
  <c r="B7" i="15"/>
  <c r="D4" i="15"/>
  <c r="B16" i="15"/>
  <c r="N14" i="15"/>
  <c r="B19" i="15"/>
  <c r="C525" i="9"/>
  <c r="B525" i="9"/>
  <c r="B509" i="9"/>
  <c r="B493" i="9"/>
  <c r="B477" i="9"/>
  <c r="B461" i="9"/>
  <c r="B445" i="9"/>
  <c r="B429" i="9"/>
  <c r="C515" i="9"/>
  <c r="B494" i="9"/>
  <c r="C472" i="9"/>
  <c r="C451" i="9"/>
  <c r="B430" i="9"/>
  <c r="B412" i="9"/>
  <c r="B396" i="9"/>
  <c r="B380" i="9"/>
  <c r="B364" i="9"/>
  <c r="B348" i="9"/>
  <c r="B332" i="9"/>
  <c r="B316" i="9"/>
  <c r="B300" i="9"/>
  <c r="B284" i="9"/>
  <c r="B268" i="9"/>
  <c r="B252" i="9"/>
  <c r="B236" i="9"/>
  <c r="B220" i="9"/>
  <c r="B204" i="9"/>
  <c r="B188" i="9"/>
  <c r="B172" i="9"/>
  <c r="B156" i="9"/>
  <c r="B140" i="9"/>
  <c r="B124" i="9"/>
  <c r="B108" i="9"/>
  <c r="B92" i="9"/>
  <c r="B76" i="9"/>
  <c r="C524" i="9"/>
  <c r="C493" i="9"/>
  <c r="C465" i="9"/>
  <c r="C436" i="9"/>
  <c r="C411" i="9"/>
  <c r="C390" i="9"/>
  <c r="B369" i="9"/>
  <c r="C347" i="9"/>
  <c r="C326" i="9"/>
  <c r="B305" i="9"/>
  <c r="C283" i="9"/>
  <c r="C262" i="9"/>
  <c r="B241" i="9"/>
  <c r="C219" i="9"/>
  <c r="C198" i="9"/>
  <c r="B177" i="9"/>
  <c r="C155" i="9"/>
  <c r="C134" i="9"/>
  <c r="B113" i="9"/>
  <c r="C91" i="9"/>
  <c r="C70" i="9"/>
  <c r="C52" i="9"/>
  <c r="C36" i="9"/>
  <c r="C20" i="9"/>
  <c r="E4" i="9"/>
  <c r="B524" i="9"/>
  <c r="C492" i="9"/>
  <c r="B464" i="9"/>
  <c r="B436" i="9"/>
  <c r="B411" i="9"/>
  <c r="C389" i="9"/>
  <c r="C368" i="9"/>
  <c r="B347" i="9"/>
  <c r="C325" i="9"/>
  <c r="C304" i="9"/>
  <c r="B283" i="9"/>
  <c r="C261" i="9"/>
  <c r="C240" i="9"/>
  <c r="B219" i="9"/>
  <c r="C197" i="9"/>
  <c r="C176" i="9"/>
  <c r="B155" i="9"/>
  <c r="C133" i="9"/>
  <c r="C112" i="9"/>
  <c r="B91" i="9"/>
  <c r="C69" i="9"/>
  <c r="B52" i="9"/>
  <c r="B36" i="9"/>
  <c r="B20" i="9"/>
  <c r="E492" i="9"/>
  <c r="C509" i="9"/>
  <c r="C481" i="9"/>
  <c r="C452" i="9"/>
  <c r="B424" i="9"/>
  <c r="C402" i="9"/>
  <c r="C520" i="9"/>
  <c r="C409" i="9"/>
  <c r="B359" i="9"/>
  <c r="C316" i="9"/>
  <c r="C273" i="9"/>
  <c r="B231" i="9"/>
  <c r="C188" i="9"/>
  <c r="C145" i="9"/>
  <c r="B103" i="9"/>
  <c r="B61" i="9"/>
  <c r="B29" i="9"/>
  <c r="E316" i="9"/>
  <c r="C444" i="9"/>
  <c r="B373" i="9"/>
  <c r="C330" i="9"/>
  <c r="C287" i="9"/>
  <c r="B245" i="9"/>
  <c r="C202" i="9"/>
  <c r="C159" i="9"/>
  <c r="B117" i="9"/>
  <c r="C74" i="9"/>
  <c r="C39" i="9"/>
  <c r="C7" i="9"/>
  <c r="B498" i="9"/>
  <c r="C393" i="9"/>
  <c r="B351" i="9"/>
  <c r="C308" i="9"/>
  <c r="M4" i="15"/>
  <c r="B9" i="15"/>
  <c r="M14" i="15"/>
  <c r="J14" i="15"/>
  <c r="B17" i="15"/>
  <c r="M17" i="15"/>
  <c r="C523" i="9"/>
  <c r="B523" i="9"/>
  <c r="B507" i="9"/>
  <c r="B491" i="9"/>
  <c r="B475" i="9"/>
  <c r="B459" i="9"/>
  <c r="B443" i="9"/>
  <c r="B427" i="9"/>
  <c r="C512" i="9"/>
  <c r="C491" i="9"/>
  <c r="B470" i="9"/>
  <c r="C448" i="9"/>
  <c r="C427" i="9"/>
  <c r="B410" i="9"/>
  <c r="B394" i="9"/>
  <c r="B378" i="9"/>
  <c r="B362" i="9"/>
  <c r="B346" i="9"/>
  <c r="B330" i="9"/>
  <c r="B314" i="9"/>
  <c r="B298" i="9"/>
  <c r="B282" i="9"/>
  <c r="B266" i="9"/>
  <c r="B250" i="9"/>
  <c r="B234" i="9"/>
  <c r="B218" i="9"/>
  <c r="B202" i="9"/>
  <c r="B186" i="9"/>
  <c r="B170" i="9"/>
  <c r="B154" i="9"/>
  <c r="B138" i="9"/>
  <c r="B122" i="9"/>
  <c r="B106" i="9"/>
  <c r="B90" i="9"/>
  <c r="B74" i="9"/>
  <c r="B520" i="9"/>
  <c r="B490" i="9"/>
  <c r="C461" i="9"/>
  <c r="C433" i="9"/>
  <c r="B409" i="9"/>
  <c r="C387" i="9"/>
  <c r="C366" i="9"/>
  <c r="B345" i="9"/>
  <c r="C323" i="9"/>
  <c r="C302" i="9"/>
  <c r="B281" i="9"/>
  <c r="C259" i="9"/>
  <c r="C238" i="9"/>
  <c r="B217" i="9"/>
  <c r="C195" i="9"/>
  <c r="C174" i="9"/>
  <c r="B153" i="9"/>
  <c r="C131" i="9"/>
  <c r="C110" i="9"/>
  <c r="B89" i="9"/>
  <c r="C67" i="9"/>
  <c r="C50" i="9"/>
  <c r="C34" i="9"/>
  <c r="C18" i="9"/>
  <c r="B518" i="9"/>
  <c r="C489" i="9"/>
  <c r="C460" i="9"/>
  <c r="B432" i="9"/>
  <c r="C408" i="9"/>
  <c r="B387" i="9"/>
  <c r="C365" i="9"/>
  <c r="C344" i="9"/>
  <c r="B323" i="9"/>
  <c r="C301" i="9"/>
  <c r="C280" i="9"/>
  <c r="B259" i="9"/>
  <c r="C237" i="9"/>
  <c r="C216" i="9"/>
  <c r="B195" i="9"/>
  <c r="C173" i="9"/>
  <c r="C152" i="9"/>
  <c r="B131" i="9"/>
  <c r="C109" i="9"/>
  <c r="C88" i="9"/>
  <c r="B67" i="9"/>
  <c r="B50" i="9"/>
  <c r="B34" i="9"/>
  <c r="B18" i="9"/>
  <c r="B506" i="9"/>
  <c r="C477" i="9"/>
  <c r="C449" i="9"/>
  <c r="B421" i="9"/>
  <c r="C399" i="9"/>
  <c r="C505" i="9"/>
  <c r="B399" i="9"/>
  <c r="C353" i="9"/>
  <c r="B311" i="9"/>
  <c r="C268" i="9"/>
  <c r="C225" i="9"/>
  <c r="B183" i="9"/>
  <c r="C140" i="9"/>
  <c r="C97" i="9"/>
  <c r="B57" i="9"/>
  <c r="B25" i="9"/>
  <c r="C430" i="9"/>
  <c r="C367" i="9"/>
  <c r="B325" i="9"/>
  <c r="C282" i="9"/>
  <c r="C239" i="9"/>
  <c r="B197" i="9"/>
  <c r="C154" i="9"/>
  <c r="C111" i="9"/>
  <c r="B69" i="9"/>
  <c r="C35" i="9"/>
  <c r="E468" i="9"/>
  <c r="B484" i="9"/>
  <c r="C388" i="9"/>
  <c r="C345" i="9"/>
  <c r="B303" i="9"/>
  <c r="I4" i="15"/>
  <c r="F4" i="15"/>
  <c r="I14" i="15"/>
  <c r="F14" i="15"/>
  <c r="L14" i="15"/>
  <c r="C521" i="9"/>
  <c r="B521" i="9"/>
  <c r="B505" i="9"/>
  <c r="B489" i="9"/>
  <c r="B473" i="9"/>
  <c r="B457" i="9"/>
  <c r="B441" i="9"/>
  <c r="B425" i="9"/>
  <c r="B510" i="9"/>
  <c r="C488" i="9"/>
  <c r="C467" i="9"/>
  <c r="B446" i="9"/>
  <c r="C424" i="9"/>
  <c r="B408" i="9"/>
  <c r="B392" i="9"/>
  <c r="B376" i="9"/>
  <c r="B360" i="9"/>
  <c r="B344" i="9"/>
  <c r="B328" i="9"/>
  <c r="B312" i="9"/>
  <c r="B296" i="9"/>
  <c r="B280" i="9"/>
  <c r="B264" i="9"/>
  <c r="B248" i="9"/>
  <c r="B232" i="9"/>
  <c r="B216" i="9"/>
  <c r="B200" i="9"/>
  <c r="B184" i="9"/>
  <c r="B168" i="9"/>
  <c r="B152" i="9"/>
  <c r="B136" i="9"/>
  <c r="B120" i="9"/>
  <c r="B104" i="9"/>
  <c r="B88" i="9"/>
  <c r="B72" i="9"/>
  <c r="C514" i="9"/>
  <c r="C486" i="9"/>
  <c r="B458" i="9"/>
  <c r="C429" i="9"/>
  <c r="C406" i="9"/>
  <c r="B385" i="9"/>
  <c r="C363" i="9"/>
  <c r="C342" i="9"/>
  <c r="B321" i="9"/>
  <c r="C299" i="9"/>
  <c r="C278" i="9"/>
  <c r="B257" i="9"/>
  <c r="C235" i="9"/>
  <c r="C214" i="9"/>
  <c r="B193" i="9"/>
  <c r="C171" i="9"/>
  <c r="C150" i="9"/>
  <c r="B129" i="9"/>
  <c r="C107" i="9"/>
  <c r="C86" i="9"/>
  <c r="E86" i="9" s="1"/>
  <c r="B65" i="9"/>
  <c r="C48" i="9"/>
  <c r="C32" i="9"/>
  <c r="C16" i="9"/>
  <c r="B514" i="9"/>
  <c r="C485" i="9"/>
  <c r="E485" i="9" s="1"/>
  <c r="C457" i="9"/>
  <c r="C428" i="9"/>
  <c r="E428" i="9" s="1"/>
  <c r="C405" i="9"/>
  <c r="C384" i="9"/>
  <c r="B363" i="9"/>
  <c r="C341" i="9"/>
  <c r="C320" i="9"/>
  <c r="B299" i="9"/>
  <c r="C277" i="9"/>
  <c r="C256" i="9"/>
  <c r="B235" i="9"/>
  <c r="C213" i="9"/>
  <c r="C192" i="9"/>
  <c r="B171" i="9"/>
  <c r="C149" i="9"/>
  <c r="C128" i="9"/>
  <c r="B107" i="9"/>
  <c r="C85" i="9"/>
  <c r="C64" i="9"/>
  <c r="B48" i="9"/>
  <c r="B32" i="9"/>
  <c r="B16" i="9"/>
  <c r="E405" i="9"/>
  <c r="E32" i="9"/>
  <c r="C502" i="9"/>
  <c r="B474" i="9"/>
  <c r="C445" i="9"/>
  <c r="C418" i="9"/>
  <c r="B397" i="9"/>
  <c r="C490" i="9"/>
  <c r="B391" i="9"/>
  <c r="C348" i="9"/>
  <c r="C305" i="9"/>
  <c r="B263" i="9"/>
  <c r="C220" i="9"/>
  <c r="C177" i="9"/>
  <c r="B135" i="9"/>
  <c r="C92" i="9"/>
  <c r="B53" i="9"/>
  <c r="E4" i="15"/>
  <c r="E14" i="15"/>
  <c r="E17" i="15" s="1"/>
  <c r="H14" i="15"/>
  <c r="O14" i="15"/>
  <c r="C519" i="9"/>
  <c r="B519" i="9"/>
  <c r="B503" i="9"/>
  <c r="B487" i="9"/>
  <c r="B471" i="9"/>
  <c r="B455" i="9"/>
  <c r="B439" i="9"/>
  <c r="B423" i="9"/>
  <c r="C507" i="9"/>
  <c r="B486" i="9"/>
  <c r="C464" i="9"/>
  <c r="C443" i="9"/>
  <c r="B422" i="9"/>
  <c r="B406" i="9"/>
  <c r="B390" i="9"/>
  <c r="B374" i="9"/>
  <c r="B358" i="9"/>
  <c r="B342" i="9"/>
  <c r="B326" i="9"/>
  <c r="B310" i="9"/>
  <c r="B294" i="9"/>
  <c r="B278" i="9"/>
  <c r="B262" i="9"/>
  <c r="B246" i="9"/>
  <c r="B230" i="9"/>
  <c r="B214" i="9"/>
  <c r="B198" i="9"/>
  <c r="B182" i="9"/>
  <c r="B166" i="9"/>
  <c r="B150" i="9"/>
  <c r="B134" i="9"/>
  <c r="B118" i="9"/>
  <c r="B102" i="9"/>
  <c r="B86" i="9"/>
  <c r="B70" i="9"/>
  <c r="C511" i="9"/>
  <c r="C482" i="9"/>
  <c r="C454" i="9"/>
  <c r="B426" i="9"/>
  <c r="C403" i="9"/>
  <c r="C382" i="9"/>
  <c r="B361" i="9"/>
  <c r="C339" i="9"/>
  <c r="C318" i="9"/>
  <c r="B297" i="9"/>
  <c r="C275" i="9"/>
  <c r="C254" i="9"/>
  <c r="B233" i="9"/>
  <c r="C211" i="9"/>
  <c r="C190" i="9"/>
  <c r="B169" i="9"/>
  <c r="C147" i="9"/>
  <c r="C126" i="9"/>
  <c r="B105" i="9"/>
  <c r="C83" i="9"/>
  <c r="C62" i="9"/>
  <c r="C46" i="9"/>
  <c r="C30" i="9"/>
  <c r="C14" i="9"/>
  <c r="E436" i="9"/>
  <c r="C510" i="9"/>
  <c r="B482" i="9"/>
  <c r="C453" i="9"/>
  <c r="C425" i="9"/>
  <c r="B403" i="9"/>
  <c r="C381" i="9"/>
  <c r="C360" i="9"/>
  <c r="B339" i="9"/>
  <c r="C317" i="9"/>
  <c r="C296" i="9"/>
  <c r="B275" i="9"/>
  <c r="C253" i="9"/>
  <c r="C232" i="9"/>
  <c r="B211" i="9"/>
  <c r="C189" i="9"/>
  <c r="C168" i="9"/>
  <c r="B147" i="9"/>
  <c r="C125" i="9"/>
  <c r="C104" i="9"/>
  <c r="B83" i="9"/>
  <c r="B62" i="9"/>
  <c r="B46" i="9"/>
  <c r="B30" i="9"/>
  <c r="B14" i="9"/>
  <c r="E341" i="9"/>
  <c r="E18" i="9"/>
  <c r="C498" i="9"/>
  <c r="C470" i="9"/>
  <c r="B442" i="9"/>
  <c r="C415" i="9"/>
  <c r="C394" i="9"/>
  <c r="C476" i="9"/>
  <c r="C385" i="9"/>
  <c r="B343" i="9"/>
  <c r="C300" i="9"/>
  <c r="C257" i="9"/>
  <c r="B215" i="9"/>
  <c r="C172" i="9"/>
  <c r="C129" i="9"/>
  <c r="B87" i="9"/>
  <c r="B49" i="9"/>
  <c r="B17" i="9"/>
  <c r="B516" i="9"/>
  <c r="B407" i="9"/>
  <c r="B357" i="9"/>
  <c r="C314" i="9"/>
  <c r="B10" i="15"/>
  <c r="B15" i="15"/>
  <c r="D14" i="15"/>
  <c r="G14" i="15"/>
  <c r="C517" i="9"/>
  <c r="E517" i="9" s="1"/>
  <c r="B517" i="9"/>
  <c r="B501" i="9"/>
  <c r="B485" i="9"/>
  <c r="B469" i="9"/>
  <c r="B453" i="9"/>
  <c r="B437" i="9"/>
  <c r="C530" i="9"/>
  <c r="C504" i="9"/>
  <c r="C483" i="9"/>
  <c r="B462" i="9"/>
  <c r="C440" i="9"/>
  <c r="B420" i="9"/>
  <c r="B404" i="9"/>
  <c r="B388" i="9"/>
  <c r="B372" i="9"/>
  <c r="B356" i="9"/>
  <c r="B340" i="9"/>
  <c r="B324" i="9"/>
  <c r="B308" i="9"/>
  <c r="B292" i="9"/>
  <c r="B276" i="9"/>
  <c r="B260" i="9"/>
  <c r="B244" i="9"/>
  <c r="B228" i="9"/>
  <c r="B212" i="9"/>
  <c r="B196" i="9"/>
  <c r="B180" i="9"/>
  <c r="B164" i="9"/>
  <c r="B148" i="9"/>
  <c r="B132" i="9"/>
  <c r="B116" i="9"/>
  <c r="B100" i="9"/>
  <c r="B84" i="9"/>
  <c r="B68" i="9"/>
  <c r="B508" i="9"/>
  <c r="C479" i="9"/>
  <c r="C450" i="9"/>
  <c r="C422" i="9"/>
  <c r="B401" i="9"/>
  <c r="C379" i="9"/>
  <c r="C358" i="9"/>
  <c r="B337" i="9"/>
  <c r="C315" i="9"/>
  <c r="C294" i="9"/>
  <c r="B273" i="9"/>
  <c r="C251" i="9"/>
  <c r="C230" i="9"/>
  <c r="B209" i="9"/>
  <c r="C187" i="9"/>
  <c r="C166" i="9"/>
  <c r="B145" i="9"/>
  <c r="C123" i="9"/>
  <c r="C102" i="9"/>
  <c r="B81" i="9"/>
  <c r="C60" i="9"/>
  <c r="C44" i="9"/>
  <c r="E44" i="9" s="1"/>
  <c r="C28" i="9"/>
  <c r="C12" i="9"/>
  <c r="E48" i="9"/>
  <c r="C506" i="9"/>
  <c r="C478" i="9"/>
  <c r="B450" i="9"/>
  <c r="C421" i="9"/>
  <c r="C400" i="9"/>
  <c r="B379" i="9"/>
  <c r="C357" i="9"/>
  <c r="C336" i="9"/>
  <c r="B315" i="9"/>
  <c r="C293" i="9"/>
  <c r="C272" i="9"/>
  <c r="B251" i="9"/>
  <c r="C229" i="9"/>
  <c r="E229" i="9" s="1"/>
  <c r="C208" i="9"/>
  <c r="B187" i="9"/>
  <c r="C165" i="9"/>
  <c r="C144" i="9"/>
  <c r="B123" i="9"/>
  <c r="C101" i="9"/>
  <c r="C80" i="9"/>
  <c r="B60" i="9"/>
  <c r="B44" i="9"/>
  <c r="B28" i="9"/>
  <c r="B12" i="9"/>
  <c r="E277" i="9"/>
  <c r="B528" i="9"/>
  <c r="C495" i="9"/>
  <c r="C466" i="9"/>
  <c r="C438" i="9"/>
  <c r="B413" i="9"/>
  <c r="E421" i="9"/>
  <c r="C462" i="9"/>
  <c r="C380" i="9"/>
  <c r="C337" i="9"/>
  <c r="B295" i="9"/>
  <c r="C252" i="9"/>
  <c r="C209" i="9"/>
  <c r="B167" i="9"/>
  <c r="C124" i="9"/>
  <c r="C81" i="9"/>
  <c r="B45" i="9"/>
  <c r="B8" i="15"/>
  <c r="K4" i="15"/>
  <c r="K14" i="15"/>
  <c r="K15" i="15" s="1"/>
  <c r="M16" i="15"/>
  <c r="M19" i="15"/>
  <c r="L19" i="15"/>
  <c r="B531" i="9"/>
  <c r="B515" i="9"/>
  <c r="B499" i="9"/>
  <c r="B483" i="9"/>
  <c r="B467" i="9"/>
  <c r="B451" i="9"/>
  <c r="B435" i="9"/>
  <c r="C526" i="9"/>
  <c r="B502" i="9"/>
  <c r="C480" i="9"/>
  <c r="C459" i="9"/>
  <c r="B438" i="9"/>
  <c r="B418" i="9"/>
  <c r="B402" i="9"/>
  <c r="B386" i="9"/>
  <c r="B370" i="9"/>
  <c r="B354" i="9"/>
  <c r="B338" i="9"/>
  <c r="B322" i="9"/>
  <c r="B306" i="9"/>
  <c r="B290" i="9"/>
  <c r="B274" i="9"/>
  <c r="B258" i="9"/>
  <c r="B242" i="9"/>
  <c r="B226" i="9"/>
  <c r="B210" i="9"/>
  <c r="B194" i="9"/>
  <c r="B178" i="9"/>
  <c r="B162" i="9"/>
  <c r="B146" i="9"/>
  <c r="B130" i="9"/>
  <c r="B114" i="9"/>
  <c r="B98" i="9"/>
  <c r="B82" i="9"/>
  <c r="B66" i="9"/>
  <c r="B504" i="9"/>
  <c r="B476" i="9"/>
  <c r="C447" i="9"/>
  <c r="C419" i="9"/>
  <c r="C398" i="9"/>
  <c r="B377" i="9"/>
  <c r="C355" i="9"/>
  <c r="C334" i="9"/>
  <c r="B313" i="9"/>
  <c r="C291" i="9"/>
  <c r="C270" i="9"/>
  <c r="B249" i="9"/>
  <c r="C227" i="9"/>
  <c r="C206" i="9"/>
  <c r="B185" i="9"/>
  <c r="C163" i="9"/>
  <c r="C142" i="9"/>
  <c r="B121" i="9"/>
  <c r="C99" i="9"/>
  <c r="C78" i="9"/>
  <c r="C58" i="9"/>
  <c r="E58" i="9" s="1"/>
  <c r="C42" i="9"/>
  <c r="C26" i="9"/>
  <c r="E26" i="9" s="1"/>
  <c r="C10" i="9"/>
  <c r="E22" i="9"/>
  <c r="C503" i="9"/>
  <c r="C474" i="9"/>
  <c r="C446" i="9"/>
  <c r="B419" i="9"/>
  <c r="C397" i="9"/>
  <c r="C376" i="9"/>
  <c r="B355" i="9"/>
  <c r="B5" i="15"/>
  <c r="L4" i="15"/>
  <c r="L7" i="15"/>
  <c r="G4" i="15"/>
  <c r="N4" i="15"/>
  <c r="C14" i="15"/>
  <c r="C15" i="15" s="1"/>
  <c r="I16" i="15"/>
  <c r="J15" i="15"/>
  <c r="C529" i="9"/>
  <c r="B529" i="9"/>
  <c r="B513" i="9"/>
  <c r="B497" i="9"/>
  <c r="B481" i="9"/>
  <c r="B465" i="9"/>
  <c r="B449" i="9"/>
  <c r="B433" i="9"/>
  <c r="C522" i="9"/>
  <c r="C499" i="9"/>
  <c r="B478" i="9"/>
  <c r="C456" i="9"/>
  <c r="C435" i="9"/>
  <c r="B416" i="9"/>
  <c r="B400" i="9"/>
  <c r="B384" i="9"/>
  <c r="B368" i="9"/>
  <c r="B352" i="9"/>
  <c r="B336" i="9"/>
  <c r="B320" i="9"/>
  <c r="B304" i="9"/>
  <c r="B288" i="9"/>
  <c r="B272" i="9"/>
  <c r="B256" i="9"/>
  <c r="B240" i="9"/>
  <c r="B224" i="9"/>
  <c r="B208" i="9"/>
  <c r="B192" i="9"/>
  <c r="B176" i="9"/>
  <c r="B160" i="9"/>
  <c r="B144" i="9"/>
  <c r="B128" i="9"/>
  <c r="B112" i="9"/>
  <c r="B96" i="9"/>
  <c r="B80" i="9"/>
  <c r="B64" i="9"/>
  <c r="C500" i="9"/>
  <c r="E500" i="9" s="1"/>
  <c r="B472" i="9"/>
  <c r="B444" i="9"/>
  <c r="B417" i="9"/>
  <c r="C395" i="9"/>
  <c r="C374" i="9"/>
  <c r="B353" i="9"/>
  <c r="C331" i="9"/>
  <c r="C310" i="9"/>
  <c r="B289" i="9"/>
  <c r="C267" i="9"/>
  <c r="C246" i="9"/>
  <c r="B225" i="9"/>
  <c r="C203" i="9"/>
  <c r="C182" i="9"/>
  <c r="B161" i="9"/>
  <c r="C139" i="9"/>
  <c r="C118" i="9"/>
  <c r="B97" i="9"/>
  <c r="C75" i="9"/>
  <c r="C56" i="9"/>
  <c r="C40" i="9"/>
  <c r="C24" i="9"/>
  <c r="C8" i="9"/>
  <c r="E10" i="9"/>
  <c r="B500" i="9"/>
  <c r="C471" i="9"/>
  <c r="C442" i="9"/>
  <c r="C416" i="9"/>
  <c r="B395" i="9"/>
  <c r="C373" i="9"/>
  <c r="C352" i="9"/>
  <c r="B331" i="9"/>
  <c r="C309" i="9"/>
  <c r="C288" i="9"/>
  <c r="B267" i="9"/>
  <c r="C245" i="9"/>
  <c r="C224" i="9"/>
  <c r="B203" i="9"/>
  <c r="C181" i="9"/>
  <c r="C160" i="9"/>
  <c r="B139" i="9"/>
  <c r="C117" i="9"/>
  <c r="C96" i="9"/>
  <c r="B75" i="9"/>
  <c r="B56" i="9"/>
  <c r="B40" i="9"/>
  <c r="B24" i="9"/>
  <c r="B8" i="9"/>
  <c r="E149" i="9"/>
  <c r="C516" i="9"/>
  <c r="B488" i="9"/>
  <c r="B460" i="9"/>
  <c r="C431" i="9"/>
  <c r="C407" i="9"/>
  <c r="E85" i="9"/>
  <c r="B434" i="9"/>
  <c r="C369" i="9"/>
  <c r="B327" i="9"/>
  <c r="C284" i="9"/>
  <c r="C241" i="9"/>
  <c r="B199" i="9"/>
  <c r="C156" i="9"/>
  <c r="C113" i="9"/>
  <c r="B71" i="9"/>
  <c r="B37" i="9"/>
  <c r="B5" i="9"/>
  <c r="C473" i="9"/>
  <c r="C383" i="9"/>
  <c r="B341" i="9"/>
  <c r="C298" i="9"/>
  <c r="C255" i="9"/>
  <c r="B213" i="9"/>
  <c r="C170" i="9"/>
  <c r="C127" i="9"/>
  <c r="B85" i="9"/>
  <c r="C47" i="9"/>
  <c r="C15" i="9"/>
  <c r="E6" i="9"/>
  <c r="B415" i="9"/>
  <c r="C361" i="9"/>
  <c r="B319" i="9"/>
  <c r="C276" i="9"/>
  <c r="C333" i="9"/>
  <c r="B163" i="9"/>
  <c r="B10" i="9"/>
  <c r="B448" i="9"/>
  <c r="C76" i="9"/>
  <c r="C417" i="9"/>
  <c r="C303" i="9"/>
  <c r="C218" i="9"/>
  <c r="B133" i="9"/>
  <c r="C51" i="9"/>
  <c r="E54" i="9"/>
  <c r="B367" i="9"/>
  <c r="C281" i="9"/>
  <c r="C228" i="9"/>
  <c r="C185" i="9"/>
  <c r="B143" i="9"/>
  <c r="C100" i="9"/>
  <c r="B59" i="9"/>
  <c r="B27" i="9"/>
  <c r="E276" i="9"/>
  <c r="B466" i="9"/>
  <c r="B381" i="9"/>
  <c r="C338" i="9"/>
  <c r="C295" i="9"/>
  <c r="B253" i="9"/>
  <c r="C210" i="9"/>
  <c r="C167" i="9"/>
  <c r="B125" i="9"/>
  <c r="C82" i="9"/>
  <c r="C45" i="9"/>
  <c r="C13" i="9"/>
  <c r="E24" i="9"/>
  <c r="E50" i="9"/>
  <c r="E78" i="9"/>
  <c r="E115" i="9"/>
  <c r="E147" i="9"/>
  <c r="E179" i="9"/>
  <c r="E211" i="9"/>
  <c r="E243" i="9"/>
  <c r="E275" i="9"/>
  <c r="E307" i="9"/>
  <c r="E339" i="9"/>
  <c r="E371" i="9"/>
  <c r="E403" i="9"/>
  <c r="E447" i="9"/>
  <c r="E493" i="9"/>
  <c r="E435" i="9"/>
  <c r="E467" i="9"/>
  <c r="E499" i="9"/>
  <c r="E530" i="9"/>
  <c r="D17" i="15"/>
  <c r="J18" i="15"/>
  <c r="D16" i="15"/>
  <c r="C17" i="15"/>
  <c r="I18" i="15"/>
  <c r="O19" i="15"/>
  <c r="H10" i="15"/>
  <c r="H9" i="15"/>
  <c r="N10" i="15"/>
  <c r="N7" i="15"/>
  <c r="G10" i="15"/>
  <c r="N19" i="15"/>
  <c r="N18" i="15"/>
  <c r="C18" i="15"/>
  <c r="G17" i="15"/>
  <c r="M18" i="15"/>
  <c r="H8" i="15"/>
  <c r="F8" i="15"/>
  <c r="L9" i="15"/>
  <c r="D10" i="15"/>
  <c r="E9" i="15"/>
  <c r="K10" i="15"/>
  <c r="E15" i="15"/>
  <c r="G18" i="15"/>
  <c r="K17" i="15"/>
  <c r="C7" i="15"/>
  <c r="C6" i="15"/>
  <c r="I9" i="15"/>
  <c r="I15" i="15"/>
  <c r="O17" i="15"/>
  <c r="K7" i="15"/>
  <c r="G6" i="15"/>
  <c r="M9" i="15"/>
  <c r="N17" i="15"/>
  <c r="E16" i="9"/>
  <c r="E363" i="9"/>
  <c r="E491" i="9"/>
  <c r="E19" i="15"/>
  <c r="C312" i="9"/>
  <c r="C141" i="9"/>
  <c r="E213" i="9"/>
  <c r="B375" i="9"/>
  <c r="B41" i="9"/>
  <c r="C396" i="9"/>
  <c r="B277" i="9"/>
  <c r="C191" i="9"/>
  <c r="C106" i="9"/>
  <c r="C31" i="9"/>
  <c r="C469" i="9"/>
  <c r="C340" i="9"/>
  <c r="C265" i="9"/>
  <c r="B223" i="9"/>
  <c r="C180" i="9"/>
  <c r="C137" i="9"/>
  <c r="B95" i="9"/>
  <c r="B55" i="9"/>
  <c r="B23" i="9"/>
  <c r="E188" i="9"/>
  <c r="B452" i="9"/>
  <c r="C375" i="9"/>
  <c r="B333" i="9"/>
  <c r="C290" i="9"/>
  <c r="C247" i="9"/>
  <c r="B205" i="9"/>
  <c r="C162" i="9"/>
  <c r="C119" i="9"/>
  <c r="B77" i="9"/>
  <c r="C41" i="9"/>
  <c r="C9" i="9"/>
  <c r="E28" i="9"/>
  <c r="E52" i="9"/>
  <c r="E83" i="9"/>
  <c r="E118" i="9"/>
  <c r="E150" i="9"/>
  <c r="E182" i="9"/>
  <c r="E214" i="9"/>
  <c r="E246" i="9"/>
  <c r="E278" i="9"/>
  <c r="E310" i="9"/>
  <c r="E342" i="9"/>
  <c r="E374" i="9"/>
  <c r="E406" i="9"/>
  <c r="E450" i="9"/>
  <c r="E497" i="9"/>
  <c r="E440" i="9"/>
  <c r="E472" i="9"/>
  <c r="E504" i="9"/>
  <c r="E525" i="9"/>
  <c r="H17" i="15"/>
  <c r="F17" i="15"/>
  <c r="D15" i="15"/>
  <c r="J8" i="15"/>
  <c r="C8" i="15"/>
  <c r="O10" i="15"/>
  <c r="J17" i="15"/>
  <c r="K18" i="15"/>
  <c r="H15" i="15"/>
  <c r="N8" i="15"/>
  <c r="G8" i="15"/>
  <c r="F6" i="15"/>
  <c r="C21" i="9"/>
  <c r="E429" i="9"/>
  <c r="E522" i="9"/>
  <c r="H19" i="15"/>
  <c r="L6" i="15"/>
  <c r="E18" i="15"/>
  <c r="M6" i="15"/>
  <c r="J7" i="15"/>
  <c r="J19" i="15"/>
  <c r="B291" i="9"/>
  <c r="C120" i="9"/>
  <c r="B522" i="9"/>
  <c r="C332" i="9"/>
  <c r="B21" i="9"/>
  <c r="B389" i="9"/>
  <c r="C271" i="9"/>
  <c r="C186" i="9"/>
  <c r="B101" i="9"/>
  <c r="C27" i="9"/>
  <c r="C455" i="9"/>
  <c r="B335" i="9"/>
  <c r="C260" i="9"/>
  <c r="C217" i="9"/>
  <c r="B175" i="9"/>
  <c r="C132" i="9"/>
  <c r="C89" i="9"/>
  <c r="B51" i="9"/>
  <c r="B19" i="9"/>
  <c r="E101" i="9"/>
  <c r="C437" i="9"/>
  <c r="C370" i="9"/>
  <c r="C327" i="9"/>
  <c r="B285" i="9"/>
  <c r="C242" i="9"/>
  <c r="C199" i="9"/>
  <c r="B157" i="9"/>
  <c r="C114" i="9"/>
  <c r="C71" i="9"/>
  <c r="C37" i="9"/>
  <c r="C5" i="9"/>
  <c r="E30" i="9"/>
  <c r="E56" i="9"/>
  <c r="E91" i="9"/>
  <c r="E123" i="9"/>
  <c r="E155" i="9"/>
  <c r="E187" i="9"/>
  <c r="E219" i="9"/>
  <c r="E251" i="9"/>
  <c r="E283" i="9"/>
  <c r="E315" i="9"/>
  <c r="E347" i="9"/>
  <c r="E379" i="9"/>
  <c r="E411" i="9"/>
  <c r="E454" i="9"/>
  <c r="E511" i="9"/>
  <c r="E443" i="9"/>
  <c r="E475" i="9"/>
  <c r="E507" i="9"/>
  <c r="E531" i="9"/>
  <c r="L17" i="15"/>
  <c r="C269" i="9"/>
  <c r="B99" i="9"/>
  <c r="B492" i="9"/>
  <c r="C289" i="9"/>
  <c r="B13" i="9"/>
  <c r="C362" i="9"/>
  <c r="C266" i="9"/>
  <c r="B181" i="9"/>
  <c r="C95" i="9"/>
  <c r="C23" i="9"/>
  <c r="C441" i="9"/>
  <c r="C329" i="9"/>
  <c r="B255" i="9"/>
  <c r="C212" i="9"/>
  <c r="C169" i="9"/>
  <c r="B127" i="9"/>
  <c r="C84" i="9"/>
  <c r="B47" i="9"/>
  <c r="B15" i="9"/>
  <c r="E42" i="9"/>
  <c r="C423" i="9"/>
  <c r="B365" i="9"/>
  <c r="C322" i="9"/>
  <c r="C279" i="9"/>
  <c r="B237" i="9"/>
  <c r="C194" i="9"/>
  <c r="C151" i="9"/>
  <c r="B109" i="9"/>
  <c r="C66" i="9"/>
  <c r="C33" i="9"/>
  <c r="E8" i="9"/>
  <c r="E34" i="9"/>
  <c r="E60" i="9"/>
  <c r="E94" i="9"/>
  <c r="E126" i="9"/>
  <c r="E158" i="9"/>
  <c r="E190" i="9"/>
  <c r="E222" i="9"/>
  <c r="E254" i="9"/>
  <c r="E286" i="9"/>
  <c r="E318" i="9"/>
  <c r="E350" i="9"/>
  <c r="E382" i="9"/>
  <c r="E414" i="9"/>
  <c r="E461" i="9"/>
  <c r="E514" i="9"/>
  <c r="E448" i="9"/>
  <c r="E480" i="9"/>
  <c r="E512" i="9"/>
  <c r="E519" i="9"/>
  <c r="C16" i="15"/>
  <c r="E6" i="15"/>
  <c r="F10" i="15"/>
  <c r="F7" i="15"/>
  <c r="I19" i="15"/>
  <c r="D9" i="15"/>
  <c r="C10" i="15"/>
  <c r="C248" i="9"/>
  <c r="C77" i="9"/>
  <c r="C463" i="9"/>
  <c r="B247" i="9"/>
  <c r="B9" i="9"/>
  <c r="C351" i="9"/>
  <c r="B261" i="9"/>
  <c r="C175" i="9"/>
  <c r="C90" i="9"/>
  <c r="C19" i="9"/>
  <c r="C426" i="9"/>
  <c r="C324" i="9"/>
  <c r="C249" i="9"/>
  <c r="B207" i="9"/>
  <c r="C164" i="9"/>
  <c r="C121" i="9"/>
  <c r="B79" i="9"/>
  <c r="B43" i="9"/>
  <c r="B11" i="9"/>
  <c r="B526" i="9"/>
  <c r="C412" i="9"/>
  <c r="C359" i="9"/>
  <c r="B317" i="9"/>
  <c r="C274" i="9"/>
  <c r="C231" i="9"/>
  <c r="B189" i="9"/>
  <c r="C146" i="9"/>
  <c r="C103" i="9"/>
  <c r="C61" i="9"/>
  <c r="C29" i="9"/>
  <c r="E12" i="9"/>
  <c r="E36" i="9"/>
  <c r="E62" i="9"/>
  <c r="E99" i="9"/>
  <c r="E131" i="9"/>
  <c r="E163" i="9"/>
  <c r="E195" i="9"/>
  <c r="E227" i="9"/>
  <c r="E259" i="9"/>
  <c r="E291" i="9"/>
  <c r="E323" i="9"/>
  <c r="E355" i="9"/>
  <c r="E387" i="9"/>
  <c r="E419" i="9"/>
  <c r="E465" i="9"/>
  <c r="E524" i="9"/>
  <c r="E451" i="9"/>
  <c r="E483" i="9"/>
  <c r="E515" i="9"/>
  <c r="E521" i="9"/>
  <c r="G16" i="15"/>
  <c r="M15" i="15"/>
  <c r="F15" i="15"/>
  <c r="F16" i="15"/>
  <c r="L15" i="15"/>
  <c r="F9" i="15"/>
  <c r="E7" i="15"/>
  <c r="K6" i="15"/>
  <c r="K8" i="15"/>
  <c r="D6" i="15"/>
  <c r="J6" i="15"/>
  <c r="O18" i="15"/>
  <c r="C263" i="9"/>
  <c r="E139" i="9"/>
  <c r="E235" i="9"/>
  <c r="E299" i="9"/>
  <c r="E395" i="9"/>
  <c r="E427" i="9"/>
  <c r="E459" i="9"/>
  <c r="O16" i="15"/>
  <c r="M7" i="15"/>
  <c r="F19" i="15"/>
  <c r="I17" i="15"/>
  <c r="K19" i="15"/>
  <c r="J10" i="15"/>
  <c r="B227" i="9"/>
  <c r="B58" i="9"/>
  <c r="C434" i="9"/>
  <c r="C204" i="9"/>
  <c r="E69" i="9"/>
  <c r="C346" i="9"/>
  <c r="C234" i="9"/>
  <c r="B149" i="9"/>
  <c r="C63" i="9"/>
  <c r="E380" i="9"/>
  <c r="B383" i="9"/>
  <c r="C297" i="9"/>
  <c r="C244" i="9"/>
  <c r="C201" i="9"/>
  <c r="B159" i="9"/>
  <c r="C116" i="9"/>
  <c r="C73" i="9"/>
  <c r="B39" i="9"/>
  <c r="B7" i="9"/>
  <c r="C508" i="9"/>
  <c r="C401" i="9"/>
  <c r="C354" i="9"/>
  <c r="C311" i="9"/>
  <c r="B269" i="9"/>
  <c r="C226" i="9"/>
  <c r="C183" i="9"/>
  <c r="B141" i="9"/>
  <c r="C98" i="9"/>
  <c r="C57" i="9"/>
  <c r="C25" i="9"/>
  <c r="E14" i="9"/>
  <c r="E38" i="9"/>
  <c r="E67" i="9"/>
  <c r="E102" i="9"/>
  <c r="E134" i="9"/>
  <c r="E166" i="9"/>
  <c r="E198" i="9"/>
  <c r="E230" i="9"/>
  <c r="E262" i="9"/>
  <c r="E294" i="9"/>
  <c r="E326" i="9"/>
  <c r="E358" i="9"/>
  <c r="E390" i="9"/>
  <c r="E422" i="9"/>
  <c r="E479" i="9"/>
  <c r="E424" i="9"/>
  <c r="E456" i="9"/>
  <c r="E488" i="9"/>
  <c r="E518" i="9"/>
  <c r="E523" i="9"/>
  <c r="K16" i="15"/>
  <c r="D19" i="15"/>
  <c r="N15" i="15"/>
  <c r="J16" i="15"/>
  <c r="C19" i="15"/>
  <c r="J9" i="15"/>
  <c r="I7" i="15"/>
  <c r="O6" i="15"/>
  <c r="O8" i="15"/>
  <c r="H6" i="15"/>
  <c r="N6" i="15"/>
  <c r="O15" i="15"/>
  <c r="E293" i="9"/>
  <c r="G19" i="15"/>
  <c r="C205" i="9"/>
  <c r="B42" i="9"/>
  <c r="C410" i="9"/>
  <c r="C161" i="9"/>
  <c r="C501" i="9"/>
  <c r="C319" i="9"/>
  <c r="B229" i="9"/>
  <c r="C143" i="9"/>
  <c r="C59" i="9"/>
  <c r="C377" i="9"/>
  <c r="C292" i="9"/>
  <c r="B239" i="9"/>
  <c r="C196" i="9"/>
  <c r="C153" i="9"/>
  <c r="B111" i="9"/>
  <c r="C68" i="9"/>
  <c r="B35" i="9"/>
  <c r="E444" i="9"/>
  <c r="C494" i="9"/>
  <c r="C391" i="9"/>
  <c r="B349" i="9"/>
  <c r="C306" i="9"/>
  <c r="B221" i="9"/>
  <c r="C178" i="9"/>
  <c r="C135" i="9"/>
  <c r="B93" i="9"/>
  <c r="C53" i="9"/>
  <c r="E40" i="9"/>
  <c r="E70" i="9"/>
  <c r="E107" i="9"/>
  <c r="E171" i="9"/>
  <c r="E203" i="9"/>
  <c r="E267" i="9"/>
  <c r="E331" i="9"/>
  <c r="E482" i="9"/>
  <c r="E527" i="9"/>
  <c r="N16" i="15"/>
  <c r="C184" i="9"/>
  <c r="B26" i="9"/>
  <c r="E165" i="9"/>
  <c r="B119" i="9"/>
  <c r="C487" i="9"/>
  <c r="B309" i="9"/>
  <c r="C223" i="9"/>
  <c r="C138" i="9"/>
  <c r="C55" i="9"/>
  <c r="E124" i="9"/>
  <c r="C372" i="9"/>
  <c r="B287" i="9"/>
  <c r="C233" i="9"/>
  <c r="B191" i="9"/>
  <c r="C148" i="9"/>
  <c r="C105" i="9"/>
  <c r="B63" i="9"/>
  <c r="B31" i="9"/>
  <c r="E357" i="9"/>
  <c r="B480" i="9"/>
  <c r="C386" i="9"/>
  <c r="C343" i="9"/>
  <c r="B301" i="9"/>
  <c r="C258" i="9"/>
  <c r="C215" i="9"/>
  <c r="B173" i="9"/>
  <c r="C130" i="9"/>
  <c r="C87" i="9"/>
  <c r="C49" i="9"/>
  <c r="C17" i="9"/>
  <c r="E20" i="9"/>
  <c r="E46" i="9"/>
  <c r="E75" i="9"/>
  <c r="E110" i="9"/>
  <c r="E142" i="9"/>
  <c r="E174" i="9"/>
  <c r="E206" i="9"/>
  <c r="E238" i="9"/>
  <c r="E270" i="9"/>
  <c r="E302" i="9"/>
  <c r="E334" i="9"/>
  <c r="E366" i="9"/>
  <c r="E398" i="9"/>
  <c r="E433" i="9"/>
  <c r="E486" i="9"/>
  <c r="E432" i="9"/>
  <c r="E464" i="9"/>
  <c r="E496" i="9"/>
  <c r="E526" i="9"/>
  <c r="E529" i="9"/>
  <c r="F18" i="15"/>
  <c r="L16" i="15"/>
  <c r="E16" i="15"/>
  <c r="H16" i="15"/>
  <c r="D8" i="15"/>
  <c r="E10" i="15"/>
  <c r="L8" i="15"/>
  <c r="O9" i="15"/>
  <c r="I10" i="15"/>
  <c r="G7" i="15"/>
  <c r="E8" i="15"/>
  <c r="M10" i="15"/>
  <c r="O7" i="15"/>
  <c r="I8" i="15"/>
  <c r="I6" i="15"/>
  <c r="M8" i="15"/>
  <c r="L10" i="15"/>
  <c r="D7" i="15"/>
  <c r="H7" i="15"/>
  <c r="H121" i="8" l="1"/>
  <c r="H23" i="15"/>
  <c r="D121" i="8"/>
  <c r="D23" i="15"/>
  <c r="L127" i="8"/>
  <c r="L124" i="8"/>
  <c r="L133" i="8"/>
  <c r="M24" i="15"/>
  <c r="F31" i="6" s="1"/>
  <c r="M122" i="8"/>
  <c r="I22" i="15"/>
  <c r="I120" i="8"/>
  <c r="I24" i="15"/>
  <c r="I122" i="8"/>
  <c r="O23" i="15"/>
  <c r="M127" i="8"/>
  <c r="M124" i="8"/>
  <c r="M133" i="8"/>
  <c r="E122" i="8"/>
  <c r="E24" i="15"/>
  <c r="G23" i="15"/>
  <c r="G121" i="8"/>
  <c r="I124" i="8"/>
  <c r="I133" i="8"/>
  <c r="I127" i="8"/>
  <c r="O25" i="15"/>
  <c r="L24" i="15"/>
  <c r="L122" i="8"/>
  <c r="E124" i="8"/>
  <c r="E133" i="8"/>
  <c r="E127" i="8"/>
  <c r="D122" i="8"/>
  <c r="D24" i="15"/>
  <c r="H32" i="15"/>
  <c r="M15" i="6" s="1"/>
  <c r="E32" i="15"/>
  <c r="J15" i="6" s="1"/>
  <c r="L32" i="15"/>
  <c r="Q15" i="6" s="1"/>
  <c r="F34" i="15"/>
  <c r="K17" i="6" s="1"/>
  <c r="F529" i="9"/>
  <c r="F526" i="9"/>
  <c r="F496" i="9"/>
  <c r="F464" i="9"/>
  <c r="F432" i="9"/>
  <c r="F486" i="9"/>
  <c r="F433" i="9"/>
  <c r="F398" i="9"/>
  <c r="F366" i="9"/>
  <c r="F334" i="9"/>
  <c r="F302" i="9"/>
  <c r="F270" i="9"/>
  <c r="F238" i="9"/>
  <c r="F206" i="9"/>
  <c r="F174" i="9"/>
  <c r="F142" i="9"/>
  <c r="F110" i="9"/>
  <c r="F75" i="9"/>
  <c r="F46" i="9"/>
  <c r="F20" i="9"/>
  <c r="D173" i="9"/>
  <c r="D301" i="9"/>
  <c r="D480" i="9"/>
  <c r="F357" i="9"/>
  <c r="D31" i="9"/>
  <c r="D63" i="9"/>
  <c r="D191" i="9"/>
  <c r="D287" i="9"/>
  <c r="F124" i="9"/>
  <c r="D309" i="9"/>
  <c r="D119" i="9"/>
  <c r="F165" i="9"/>
  <c r="D26" i="9"/>
  <c r="N32" i="15"/>
  <c r="S15" i="6" s="1"/>
  <c r="F527" i="9"/>
  <c r="F482" i="9"/>
  <c r="F331" i="9"/>
  <c r="F267" i="9"/>
  <c r="F203" i="9"/>
  <c r="F171" i="9"/>
  <c r="F107" i="9"/>
  <c r="F70" i="9"/>
  <c r="F40" i="9"/>
  <c r="D93" i="9"/>
  <c r="D221" i="9"/>
  <c r="D349" i="9"/>
  <c r="F444" i="9"/>
  <c r="D35" i="9"/>
  <c r="D111" i="9"/>
  <c r="D239" i="9"/>
  <c r="D229" i="9"/>
  <c r="D42" i="9"/>
  <c r="F293" i="9"/>
  <c r="O31" i="15"/>
  <c r="N120" i="8"/>
  <c r="N22" i="15"/>
  <c r="H120" i="8"/>
  <c r="H22" i="15"/>
  <c r="O24" i="15"/>
  <c r="O22" i="15"/>
  <c r="I23" i="15"/>
  <c r="I121" i="8"/>
  <c r="J123" i="8"/>
  <c r="J25" i="15"/>
  <c r="J32" i="15"/>
  <c r="O15" i="6" s="1"/>
  <c r="N31" i="15"/>
  <c r="K32" i="15"/>
  <c r="F523" i="9"/>
  <c r="F518" i="9"/>
  <c r="F488" i="9"/>
  <c r="F456" i="9"/>
  <c r="F424" i="9"/>
  <c r="F479" i="9"/>
  <c r="F422" i="9"/>
  <c r="F390" i="9"/>
  <c r="F358" i="9"/>
  <c r="F326" i="9"/>
  <c r="F294" i="9"/>
  <c r="F262" i="9"/>
  <c r="F230" i="9"/>
  <c r="F198" i="9"/>
  <c r="F166" i="9"/>
  <c r="F134" i="9"/>
  <c r="F102" i="9"/>
  <c r="F67" i="9"/>
  <c r="F38" i="9"/>
  <c r="F14" i="9"/>
  <c r="D141" i="9"/>
  <c r="D269" i="9"/>
  <c r="D7" i="9"/>
  <c r="D39" i="9"/>
  <c r="D159" i="9"/>
  <c r="D383" i="9"/>
  <c r="F380" i="9"/>
  <c r="D149" i="9"/>
  <c r="F69" i="9"/>
  <c r="D58" i="9"/>
  <c r="D227" i="9"/>
  <c r="J133" i="8"/>
  <c r="J127" i="8"/>
  <c r="J124" i="8"/>
  <c r="I33" i="15"/>
  <c r="N16" i="6" s="1"/>
  <c r="M23" i="15"/>
  <c r="F30" i="6" s="1"/>
  <c r="M121" i="8"/>
  <c r="O32" i="15"/>
  <c r="F459" i="9"/>
  <c r="F427" i="9"/>
  <c r="F395" i="9"/>
  <c r="F299" i="9"/>
  <c r="F235" i="9"/>
  <c r="F139" i="9"/>
  <c r="O34" i="15"/>
  <c r="J120" i="8"/>
  <c r="J22" i="15"/>
  <c r="D120" i="8"/>
  <c r="D22" i="15"/>
  <c r="K122" i="8"/>
  <c r="K24" i="15"/>
  <c r="K22" i="15"/>
  <c r="K120" i="8"/>
  <c r="E121" i="8"/>
  <c r="E23" i="15"/>
  <c r="F123" i="8"/>
  <c r="F25" i="15"/>
  <c r="L31" i="15"/>
  <c r="F32" i="15"/>
  <c r="K15" i="6" s="1"/>
  <c r="F31" i="15"/>
  <c r="M31" i="15"/>
  <c r="G32" i="15"/>
  <c r="L15" i="6" s="1"/>
  <c r="F521" i="9"/>
  <c r="F515" i="9"/>
  <c r="F483" i="9"/>
  <c r="F451" i="9"/>
  <c r="F524" i="9"/>
  <c r="F465" i="9"/>
  <c r="F419" i="9"/>
  <c r="F387" i="9"/>
  <c r="F355" i="9"/>
  <c r="F323" i="9"/>
  <c r="F291" i="9"/>
  <c r="F259" i="9"/>
  <c r="F227" i="9"/>
  <c r="F195" i="9"/>
  <c r="F163" i="9"/>
  <c r="F131" i="9"/>
  <c r="F99" i="9"/>
  <c r="F62" i="9"/>
  <c r="F36" i="9"/>
  <c r="F12" i="9"/>
  <c r="D189" i="9"/>
  <c r="D317" i="9"/>
  <c r="D526" i="9"/>
  <c r="D11" i="9"/>
  <c r="D43" i="9"/>
  <c r="D79" i="9"/>
  <c r="D207" i="9"/>
  <c r="D261" i="9"/>
  <c r="D9" i="9"/>
  <c r="D247" i="9"/>
  <c r="C133" i="8"/>
  <c r="C127" i="8"/>
  <c r="C124" i="8"/>
  <c r="Q10" i="15"/>
  <c r="D123" i="8"/>
  <c r="F121" i="8"/>
  <c r="F23" i="15"/>
  <c r="F124" i="8"/>
  <c r="F133" i="8"/>
  <c r="F127" i="8"/>
  <c r="E22" i="15"/>
  <c r="E120" i="8"/>
  <c r="Q16" i="15"/>
  <c r="C32" i="15"/>
  <c r="F519" i="9"/>
  <c r="F512" i="9"/>
  <c r="F480" i="9"/>
  <c r="F448" i="9"/>
  <c r="F514" i="9"/>
  <c r="F461" i="9"/>
  <c r="F414" i="9"/>
  <c r="F382" i="9"/>
  <c r="F350" i="9"/>
  <c r="F318" i="9"/>
  <c r="F286" i="9"/>
  <c r="F254" i="9"/>
  <c r="F222" i="9"/>
  <c r="F190" i="9"/>
  <c r="F158" i="9"/>
  <c r="F126" i="9"/>
  <c r="F94" i="9"/>
  <c r="F60" i="9"/>
  <c r="F34" i="9"/>
  <c r="F8" i="9"/>
  <c r="D109" i="9"/>
  <c r="D237" i="9"/>
  <c r="D365" i="9"/>
  <c r="F42" i="9"/>
  <c r="D15" i="9"/>
  <c r="D47" i="9"/>
  <c r="D127" i="9"/>
  <c r="D255" i="9"/>
  <c r="D181" i="9"/>
  <c r="D13" i="9"/>
  <c r="D492" i="9"/>
  <c r="D99" i="9"/>
  <c r="L33" i="15"/>
  <c r="Q16" i="6" s="1"/>
  <c r="F507" i="9"/>
  <c r="F475" i="9"/>
  <c r="F443" i="9"/>
  <c r="F511" i="9"/>
  <c r="F454" i="9"/>
  <c r="F411" i="9"/>
  <c r="F379" i="9"/>
  <c r="F347" i="9"/>
  <c r="F315" i="9"/>
  <c r="F283" i="9"/>
  <c r="F251" i="9"/>
  <c r="F219" i="9"/>
  <c r="F187" i="9"/>
  <c r="F155" i="9"/>
  <c r="F123" i="9"/>
  <c r="F91" i="9"/>
  <c r="F56" i="9"/>
  <c r="F30" i="9"/>
  <c r="D157" i="9"/>
  <c r="D285" i="9"/>
  <c r="F101" i="9"/>
  <c r="D19" i="9"/>
  <c r="D51" i="9"/>
  <c r="D175" i="9"/>
  <c r="D335" i="9"/>
  <c r="D101" i="9"/>
  <c r="D389" i="9"/>
  <c r="D21" i="9"/>
  <c r="D522" i="9"/>
  <c r="D291" i="9"/>
  <c r="J121" i="8"/>
  <c r="J23" i="15"/>
  <c r="M22" i="15"/>
  <c r="M120" i="8"/>
  <c r="E34" i="15"/>
  <c r="J17" i="6" s="1"/>
  <c r="L120" i="8"/>
  <c r="L22" i="15"/>
  <c r="F522" i="9"/>
  <c r="F429" i="9"/>
  <c r="F120" i="8"/>
  <c r="F22" i="15"/>
  <c r="F26" i="15" s="1"/>
  <c r="G24" i="15"/>
  <c r="G122" i="8"/>
  <c r="N122" i="8"/>
  <c r="N24" i="15"/>
  <c r="H31" i="15"/>
  <c r="K34" i="15"/>
  <c r="J33" i="15"/>
  <c r="O16" i="6" s="1"/>
  <c r="C24" i="15"/>
  <c r="C122" i="8"/>
  <c r="Q8" i="15"/>
  <c r="J122" i="8"/>
  <c r="J24" i="15"/>
  <c r="D31" i="15"/>
  <c r="F33" i="15"/>
  <c r="K16" i="6" s="1"/>
  <c r="H33" i="15"/>
  <c r="M16" i="6" s="1"/>
  <c r="F525" i="9"/>
  <c r="F504" i="9"/>
  <c r="F472" i="9"/>
  <c r="F440" i="9"/>
  <c r="F497" i="9"/>
  <c r="F450" i="9"/>
  <c r="F406" i="9"/>
  <c r="F374" i="9"/>
  <c r="F342" i="9"/>
  <c r="F310" i="9"/>
  <c r="F278" i="9"/>
  <c r="F246" i="9"/>
  <c r="F214" i="9"/>
  <c r="F182" i="9"/>
  <c r="F150" i="9"/>
  <c r="F118" i="9"/>
  <c r="F83" i="9"/>
  <c r="F52" i="9"/>
  <c r="F28" i="9"/>
  <c r="D77" i="9"/>
  <c r="D205" i="9"/>
  <c r="D333" i="9"/>
  <c r="D452" i="9"/>
  <c r="F188" i="9"/>
  <c r="D23" i="9"/>
  <c r="D55" i="9"/>
  <c r="D95" i="9"/>
  <c r="D223" i="9"/>
  <c r="D277" i="9"/>
  <c r="D41" i="9"/>
  <c r="D375" i="9"/>
  <c r="F213" i="9"/>
  <c r="F491" i="9"/>
  <c r="F363" i="9"/>
  <c r="F16" i="9"/>
  <c r="N33" i="15"/>
  <c r="S16" i="6" s="1"/>
  <c r="M25" i="15"/>
  <c r="F32" i="6" s="1"/>
  <c r="M123" i="8"/>
  <c r="G120" i="8"/>
  <c r="K23" i="15"/>
  <c r="K121" i="8"/>
  <c r="O33" i="15"/>
  <c r="I31" i="15"/>
  <c r="I25" i="15"/>
  <c r="I123" i="8"/>
  <c r="Q6" i="15"/>
  <c r="C120" i="8"/>
  <c r="C22" i="15"/>
  <c r="C23" i="15"/>
  <c r="C121" i="8"/>
  <c r="Q7" i="15"/>
  <c r="K33" i="15"/>
  <c r="G34" i="15"/>
  <c r="L17" i="6" s="1"/>
  <c r="E31" i="15"/>
  <c r="K124" i="8"/>
  <c r="K127" i="8"/>
  <c r="K133" i="8"/>
  <c r="E25" i="15"/>
  <c r="E123" i="8"/>
  <c r="D127" i="8"/>
  <c r="D124" i="8"/>
  <c r="D133" i="8"/>
  <c r="L123" i="8"/>
  <c r="F122" i="8"/>
  <c r="F24" i="15"/>
  <c r="H24" i="15"/>
  <c r="H122" i="8"/>
  <c r="M34" i="15"/>
  <c r="R17" i="6" s="1"/>
  <c r="G33" i="15"/>
  <c r="L16" i="6" s="1"/>
  <c r="C34" i="15"/>
  <c r="N34" i="15"/>
  <c r="S17" i="6" s="1"/>
  <c r="G124" i="8"/>
  <c r="G127" i="8"/>
  <c r="G133" i="8"/>
  <c r="N121" i="8"/>
  <c r="N23" i="15"/>
  <c r="N133" i="8"/>
  <c r="N127" i="8"/>
  <c r="N124" i="8"/>
  <c r="H123" i="8"/>
  <c r="H124" i="8"/>
  <c r="H133" i="8"/>
  <c r="H127" i="8"/>
  <c r="I34" i="15"/>
  <c r="N17" i="6" s="1"/>
  <c r="C33" i="15"/>
  <c r="Q17" i="15"/>
  <c r="D32" i="15"/>
  <c r="I15" i="6" s="1"/>
  <c r="J34" i="15"/>
  <c r="O17" i="6" s="1"/>
  <c r="D33" i="15"/>
  <c r="I16" i="6" s="1"/>
  <c r="F530" i="9"/>
  <c r="F499" i="9"/>
  <c r="F467" i="9"/>
  <c r="F435" i="9"/>
  <c r="F493" i="9"/>
  <c r="F447" i="9"/>
  <c r="F403" i="9"/>
  <c r="F371" i="9"/>
  <c r="F339" i="9"/>
  <c r="F307" i="9"/>
  <c r="F275" i="9"/>
  <c r="F243" i="9"/>
  <c r="F211" i="9"/>
  <c r="F179" i="9"/>
  <c r="F147" i="9"/>
  <c r="F115" i="9"/>
  <c r="F78" i="9"/>
  <c r="F50" i="9"/>
  <c r="F24" i="9"/>
  <c r="D125" i="9"/>
  <c r="D253" i="9"/>
  <c r="D381" i="9"/>
  <c r="D466" i="9"/>
  <c r="F276" i="9"/>
  <c r="D27" i="9"/>
  <c r="D59" i="9"/>
  <c r="D143" i="9"/>
  <c r="D367" i="9"/>
  <c r="F54" i="9"/>
  <c r="D133" i="9"/>
  <c r="D448" i="9"/>
  <c r="D10" i="9"/>
  <c r="D163" i="9"/>
  <c r="D319" i="9"/>
  <c r="D415" i="9"/>
  <c r="F6" i="9"/>
  <c r="D85" i="9"/>
  <c r="D213" i="9"/>
  <c r="D341" i="9"/>
  <c r="D5" i="9"/>
  <c r="D37" i="9"/>
  <c r="D71" i="9"/>
  <c r="D199" i="9"/>
  <c r="D327" i="9"/>
  <c r="D434" i="9"/>
  <c r="F85" i="9"/>
  <c r="D460" i="9"/>
  <c r="D488" i="9"/>
  <c r="F149" i="9"/>
  <c r="D8" i="9"/>
  <c r="D24" i="9"/>
  <c r="D40" i="9"/>
  <c r="D56" i="9"/>
  <c r="D75" i="9"/>
  <c r="D139" i="9"/>
  <c r="D203" i="9"/>
  <c r="D267" i="9"/>
  <c r="D331" i="9"/>
  <c r="D395" i="9"/>
  <c r="D500" i="9"/>
  <c r="F10" i="9"/>
  <c r="D97" i="9"/>
  <c r="D161" i="9"/>
  <c r="D225" i="9"/>
  <c r="D289" i="9"/>
  <c r="D353" i="9"/>
  <c r="D417" i="9"/>
  <c r="D444" i="9"/>
  <c r="D472" i="9"/>
  <c r="F500" i="9"/>
  <c r="D64" i="9"/>
  <c r="D80" i="9"/>
  <c r="D96" i="9"/>
  <c r="D112" i="9"/>
  <c r="D128" i="9"/>
  <c r="D144" i="9"/>
  <c r="D160" i="9"/>
  <c r="D176" i="9"/>
  <c r="D192" i="9"/>
  <c r="D208" i="9"/>
  <c r="D224" i="9"/>
  <c r="D240" i="9"/>
  <c r="D256" i="9"/>
  <c r="D272" i="9"/>
  <c r="D288" i="9"/>
  <c r="D304" i="9"/>
  <c r="D320" i="9"/>
  <c r="D336" i="9"/>
  <c r="D352" i="9"/>
  <c r="D368" i="9"/>
  <c r="D384" i="9"/>
  <c r="D400" i="9"/>
  <c r="D416" i="9"/>
  <c r="D478" i="9"/>
  <c r="D433" i="9"/>
  <c r="D449" i="9"/>
  <c r="D465" i="9"/>
  <c r="D481" i="9"/>
  <c r="D497" i="9"/>
  <c r="D513" i="9"/>
  <c r="D529" i="9"/>
  <c r="J31" i="15"/>
  <c r="I32" i="15"/>
  <c r="N15" i="6" s="1"/>
  <c r="C31" i="15"/>
  <c r="L121" i="8"/>
  <c r="L23" i="15"/>
  <c r="D355" i="9"/>
  <c r="D419" i="9"/>
  <c r="F22" i="9"/>
  <c r="F26" i="9"/>
  <c r="F58" i="9"/>
  <c r="D121" i="9"/>
  <c r="D185" i="9"/>
  <c r="D249" i="9"/>
  <c r="D313" i="9"/>
  <c r="D377" i="9"/>
  <c r="D476" i="9"/>
  <c r="D504" i="9"/>
  <c r="D66" i="9"/>
  <c r="D82" i="9"/>
  <c r="D98" i="9"/>
  <c r="D114" i="9"/>
  <c r="D130" i="9"/>
  <c r="D146" i="9"/>
  <c r="D162" i="9"/>
  <c r="D178" i="9"/>
  <c r="D194" i="9"/>
  <c r="D210" i="9"/>
  <c r="D226" i="9"/>
  <c r="D242" i="9"/>
  <c r="D258" i="9"/>
  <c r="D274" i="9"/>
  <c r="D290" i="9"/>
  <c r="D306" i="9"/>
  <c r="D322" i="9"/>
  <c r="D338" i="9"/>
  <c r="D354" i="9"/>
  <c r="D370" i="9"/>
  <c r="D386" i="9"/>
  <c r="D402" i="9"/>
  <c r="D418" i="9"/>
  <c r="D438" i="9"/>
  <c r="D502" i="9"/>
  <c r="D435" i="9"/>
  <c r="D451" i="9"/>
  <c r="D467" i="9"/>
  <c r="D483" i="9"/>
  <c r="D499" i="9"/>
  <c r="D515" i="9"/>
  <c r="M32" i="15"/>
  <c r="R15" i="6" s="1"/>
  <c r="K31" i="15"/>
  <c r="F14" i="6" s="1"/>
  <c r="D45" i="9"/>
  <c r="D167" i="9"/>
  <c r="D295" i="9"/>
  <c r="F421" i="9"/>
  <c r="D413" i="9"/>
  <c r="D528" i="9"/>
  <c r="F277" i="9"/>
  <c r="D12" i="9"/>
  <c r="D28" i="9"/>
  <c r="D44" i="9"/>
  <c r="D60" i="9"/>
  <c r="D123" i="9"/>
  <c r="D187" i="9"/>
  <c r="F229" i="9"/>
  <c r="D251" i="9"/>
  <c r="D315" i="9"/>
  <c r="D379" i="9"/>
  <c r="D450" i="9"/>
  <c r="F48" i="9"/>
  <c r="F44" i="9"/>
  <c r="D81" i="9"/>
  <c r="D145" i="9"/>
  <c r="D209" i="9"/>
  <c r="D273" i="9"/>
  <c r="D337" i="9"/>
  <c r="D401" i="9"/>
  <c r="D508" i="9"/>
  <c r="D68" i="9"/>
  <c r="D84" i="9"/>
  <c r="D100" i="9"/>
  <c r="D116" i="9"/>
  <c r="D132" i="9"/>
  <c r="D148" i="9"/>
  <c r="D164" i="9"/>
  <c r="D180" i="9"/>
  <c r="D196" i="9"/>
  <c r="D212" i="9"/>
  <c r="D228" i="9"/>
  <c r="D244" i="9"/>
  <c r="D260" i="9"/>
  <c r="D276" i="9"/>
  <c r="D292" i="9"/>
  <c r="D308" i="9"/>
  <c r="D324" i="9"/>
  <c r="D340" i="9"/>
  <c r="D356" i="9"/>
  <c r="D372" i="9"/>
  <c r="D388" i="9"/>
  <c r="D404" i="9"/>
  <c r="D420" i="9"/>
  <c r="D462" i="9"/>
  <c r="D437" i="9"/>
  <c r="D453" i="9"/>
  <c r="D469" i="9"/>
  <c r="D485" i="9"/>
  <c r="D501" i="9"/>
  <c r="D517" i="9"/>
  <c r="F517" i="9"/>
  <c r="D357" i="9"/>
  <c r="D407" i="9"/>
  <c r="D516" i="9"/>
  <c r="D17" i="9"/>
  <c r="D49" i="9"/>
  <c r="D87" i="9"/>
  <c r="D215" i="9"/>
  <c r="D343" i="9"/>
  <c r="D442" i="9"/>
  <c r="F18" i="9"/>
  <c r="F341" i="9"/>
  <c r="D14" i="9"/>
  <c r="D30" i="9"/>
  <c r="D46" i="9"/>
  <c r="D62" i="9"/>
  <c r="D83" i="9"/>
  <c r="D147" i="9"/>
  <c r="D211" i="9"/>
  <c r="D275" i="9"/>
  <c r="D339" i="9"/>
  <c r="D403" i="9"/>
  <c r="D482" i="9"/>
  <c r="F436" i="9"/>
  <c r="D105" i="9"/>
  <c r="D169" i="9"/>
  <c r="D233" i="9"/>
  <c r="D297" i="9"/>
  <c r="D361" i="9"/>
  <c r="D426" i="9"/>
  <c r="D70" i="9"/>
  <c r="D86" i="9"/>
  <c r="D102" i="9"/>
  <c r="D118" i="9"/>
  <c r="D134" i="9"/>
  <c r="D150" i="9"/>
  <c r="D166" i="9"/>
  <c r="D182" i="9"/>
  <c r="D198" i="9"/>
  <c r="D214" i="9"/>
  <c r="D230" i="9"/>
  <c r="D246" i="9"/>
  <c r="D262" i="9"/>
  <c r="D278" i="9"/>
  <c r="D294" i="9"/>
  <c r="D310" i="9"/>
  <c r="D326" i="9"/>
  <c r="D342" i="9"/>
  <c r="D358" i="9"/>
  <c r="D374" i="9"/>
  <c r="D390" i="9"/>
  <c r="D406" i="9"/>
  <c r="D422" i="9"/>
  <c r="D486" i="9"/>
  <c r="D423" i="9"/>
  <c r="D439" i="9"/>
  <c r="D455" i="9"/>
  <c r="D471" i="9"/>
  <c r="D487" i="9"/>
  <c r="D503" i="9"/>
  <c r="D519" i="9"/>
  <c r="E33" i="15"/>
  <c r="J16" i="6" s="1"/>
  <c r="D53" i="9"/>
  <c r="D135" i="9"/>
  <c r="D263" i="9"/>
  <c r="D391" i="9"/>
  <c r="D397" i="9"/>
  <c r="D474" i="9"/>
  <c r="F32" i="9"/>
  <c r="F405" i="9"/>
  <c r="D16" i="9"/>
  <c r="D32" i="9"/>
  <c r="D48" i="9"/>
  <c r="D107" i="9"/>
  <c r="D171" i="9"/>
  <c r="D235" i="9"/>
  <c r="D299" i="9"/>
  <c r="D363" i="9"/>
  <c r="F428" i="9"/>
  <c r="F485" i="9"/>
  <c r="D514" i="9"/>
  <c r="D65" i="9"/>
  <c r="F86" i="9"/>
  <c r="D129" i="9"/>
  <c r="D193" i="9"/>
  <c r="D257" i="9"/>
  <c r="D321" i="9"/>
  <c r="D385" i="9"/>
  <c r="D458" i="9"/>
  <c r="D72" i="9"/>
  <c r="D88" i="9"/>
  <c r="D104" i="9"/>
  <c r="D120" i="9"/>
  <c r="D136" i="9"/>
  <c r="D152" i="9"/>
  <c r="D168" i="9"/>
  <c r="D184" i="9"/>
  <c r="D200" i="9"/>
  <c r="D216" i="9"/>
  <c r="D232" i="9"/>
  <c r="D248" i="9"/>
  <c r="D264" i="9"/>
  <c r="D280" i="9"/>
  <c r="D296" i="9"/>
  <c r="D312" i="9"/>
  <c r="D328" i="9"/>
  <c r="D344" i="9"/>
  <c r="D360" i="9"/>
  <c r="D376" i="9"/>
  <c r="D392" i="9"/>
  <c r="D408" i="9"/>
  <c r="D446" i="9"/>
  <c r="D510" i="9"/>
  <c r="D425" i="9"/>
  <c r="D441" i="9"/>
  <c r="D457" i="9"/>
  <c r="D473" i="9"/>
  <c r="D489" i="9"/>
  <c r="D505" i="9"/>
  <c r="D521" i="9"/>
  <c r="D303" i="9"/>
  <c r="D484" i="9"/>
  <c r="F468" i="9"/>
  <c r="D69" i="9"/>
  <c r="D197" i="9"/>
  <c r="D325" i="9"/>
  <c r="D25" i="9"/>
  <c r="D57" i="9"/>
  <c r="D183" i="9"/>
  <c r="D311" i="9"/>
  <c r="D399" i="9"/>
  <c r="D421" i="9"/>
  <c r="D506" i="9"/>
  <c r="D18" i="9"/>
  <c r="D34" i="9"/>
  <c r="D50" i="9"/>
  <c r="D67" i="9"/>
  <c r="D131" i="9"/>
  <c r="D195" i="9"/>
  <c r="D259" i="9"/>
  <c r="D323" i="9"/>
  <c r="D387" i="9"/>
  <c r="D432" i="9"/>
  <c r="D518" i="9"/>
  <c r="D89" i="9"/>
  <c r="D153" i="9"/>
  <c r="D217" i="9"/>
  <c r="D281" i="9"/>
  <c r="D345" i="9"/>
  <c r="D409" i="9"/>
  <c r="D490" i="9"/>
  <c r="D520" i="9"/>
  <c r="D74" i="9"/>
  <c r="D90" i="9"/>
  <c r="D106" i="9"/>
  <c r="D122" i="9"/>
  <c r="D138" i="9"/>
  <c r="D154" i="9"/>
  <c r="D170" i="9"/>
  <c r="D186" i="9"/>
  <c r="D202" i="9"/>
  <c r="D218" i="9"/>
  <c r="D234" i="9"/>
  <c r="D250" i="9"/>
  <c r="D266" i="9"/>
  <c r="D282" i="9"/>
  <c r="D298" i="9"/>
  <c r="D314" i="9"/>
  <c r="D330" i="9"/>
  <c r="D346" i="9"/>
  <c r="D362" i="9"/>
  <c r="D378" i="9"/>
  <c r="D394" i="9"/>
  <c r="D410" i="9"/>
  <c r="D470" i="9"/>
  <c r="D427" i="9"/>
  <c r="D443" i="9"/>
  <c r="D459" i="9"/>
  <c r="D475" i="9"/>
  <c r="D491" i="9"/>
  <c r="D507" i="9"/>
  <c r="D523" i="9"/>
  <c r="M33" i="15"/>
  <c r="R16" i="6" s="1"/>
  <c r="D351" i="9"/>
  <c r="D498" i="9"/>
  <c r="D117" i="9"/>
  <c r="D245" i="9"/>
  <c r="D373" i="9"/>
  <c r="F316" i="9"/>
  <c r="D29" i="9"/>
  <c r="D61" i="9"/>
  <c r="D103" i="9"/>
  <c r="D231" i="9"/>
  <c r="D359" i="9"/>
  <c r="D424" i="9"/>
  <c r="F492" i="9"/>
  <c r="D20" i="9"/>
  <c r="D36" i="9"/>
  <c r="D52" i="9"/>
  <c r="D91" i="9"/>
  <c r="D155" i="9"/>
  <c r="D219" i="9"/>
  <c r="D283" i="9"/>
  <c r="D347" i="9"/>
  <c r="D411" i="9"/>
  <c r="D436" i="9"/>
  <c r="D464" i="9"/>
  <c r="D524" i="9"/>
  <c r="D113" i="9"/>
  <c r="D177" i="9"/>
  <c r="D241" i="9"/>
  <c r="D305" i="9"/>
  <c r="D369" i="9"/>
  <c r="D76" i="9"/>
  <c r="D92" i="9"/>
  <c r="D108" i="9"/>
  <c r="D124" i="9"/>
  <c r="D140" i="9"/>
  <c r="D156" i="9"/>
  <c r="D172" i="9"/>
  <c r="D188" i="9"/>
  <c r="D204" i="9"/>
  <c r="D220" i="9"/>
  <c r="D236" i="9"/>
  <c r="D252" i="9"/>
  <c r="D268" i="9"/>
  <c r="D284" i="9"/>
  <c r="D300" i="9"/>
  <c r="D316" i="9"/>
  <c r="D332" i="9"/>
  <c r="D348" i="9"/>
  <c r="D364" i="9"/>
  <c r="D380" i="9"/>
  <c r="D396" i="9"/>
  <c r="D412" i="9"/>
  <c r="D430" i="9"/>
  <c r="D494" i="9"/>
  <c r="D429" i="9"/>
  <c r="D445" i="9"/>
  <c r="D461" i="9"/>
  <c r="D477" i="9"/>
  <c r="D493" i="9"/>
  <c r="D509" i="9"/>
  <c r="D525" i="9"/>
  <c r="D271" i="9"/>
  <c r="D512" i="9"/>
  <c r="D165" i="9"/>
  <c r="D293" i="9"/>
  <c r="D33" i="9"/>
  <c r="D151" i="9"/>
  <c r="D279" i="9"/>
  <c r="D405" i="9"/>
  <c r="D428" i="9"/>
  <c r="D456" i="9"/>
  <c r="D6" i="9"/>
  <c r="D22" i="9"/>
  <c r="D38" i="9"/>
  <c r="D54" i="9"/>
  <c r="D115" i="9"/>
  <c r="D179" i="9"/>
  <c r="D243" i="9"/>
  <c r="D307" i="9"/>
  <c r="D371" i="9"/>
  <c r="D468" i="9"/>
  <c r="D496" i="9"/>
  <c r="D73" i="9"/>
  <c r="D137" i="9"/>
  <c r="D201" i="9"/>
  <c r="D265" i="9"/>
  <c r="D329" i="9"/>
  <c r="D393" i="9"/>
  <c r="D440" i="9"/>
  <c r="D530" i="9"/>
  <c r="D78" i="9"/>
  <c r="D94" i="9"/>
  <c r="D110" i="9"/>
  <c r="D126" i="9"/>
  <c r="D142" i="9"/>
  <c r="D158" i="9"/>
  <c r="D174" i="9"/>
  <c r="D190" i="9"/>
  <c r="D206" i="9"/>
  <c r="D222" i="9"/>
  <c r="D238" i="9"/>
  <c r="D254" i="9"/>
  <c r="D270" i="9"/>
  <c r="D286" i="9"/>
  <c r="D302" i="9"/>
  <c r="D318" i="9"/>
  <c r="D334" i="9"/>
  <c r="D350" i="9"/>
  <c r="D366" i="9"/>
  <c r="D382" i="9"/>
  <c r="D398" i="9"/>
  <c r="D414" i="9"/>
  <c r="D454" i="9"/>
  <c r="D431" i="9"/>
  <c r="D447" i="9"/>
  <c r="D463" i="9"/>
  <c r="D479" i="9"/>
  <c r="D495" i="9"/>
  <c r="D511" i="9"/>
  <c r="D527" i="9"/>
  <c r="M5" i="1"/>
  <c r="M6" i="1"/>
  <c r="M8" i="1"/>
  <c r="E26" i="15"/>
  <c r="P16" i="6"/>
  <c r="F16" i="6"/>
  <c r="F29" i="6"/>
  <c r="M26" i="15"/>
  <c r="O38" i="15"/>
  <c r="O26" i="15"/>
  <c r="P15" i="6"/>
  <c r="F15" i="6"/>
  <c r="P17" i="6"/>
  <c r="F17" i="6"/>
  <c r="AN86" i="6"/>
  <c r="L55" i="6"/>
  <c r="E7" i="2"/>
  <c r="AD55" i="6" s="1"/>
  <c r="AD56" i="6"/>
  <c r="AD86" i="6" s="1"/>
  <c r="E13" i="2"/>
  <c r="AJ55" i="6" s="1"/>
  <c r="AI56" i="6"/>
  <c r="AI86" i="6" s="1"/>
  <c r="AC94" i="6"/>
  <c r="E11" i="2"/>
  <c r="AH55" i="6" s="1"/>
  <c r="AH56" i="6"/>
  <c r="AH86" i="6" s="1"/>
  <c r="E16" i="2"/>
  <c r="AM55" i="6" s="1"/>
  <c r="AM56" i="6"/>
  <c r="AM86" i="6" s="1"/>
  <c r="AD52" i="6"/>
  <c r="AD85" i="6" s="1"/>
  <c r="AC56" i="6"/>
  <c r="E6" i="2"/>
  <c r="AC55" i="6" s="1"/>
  <c r="E14" i="2"/>
  <c r="AK55" i="6" s="1"/>
  <c r="AK56" i="6"/>
  <c r="AK86" i="6" s="1"/>
  <c r="E9" i="2"/>
  <c r="AF55" i="6" s="1"/>
  <c r="AF56" i="6"/>
  <c r="AF86" i="6" s="1"/>
  <c r="AC51" i="6"/>
  <c r="AC53" i="6" s="1"/>
  <c r="M39" i="15"/>
  <c r="R30" i="6"/>
  <c r="R62" i="6" s="1"/>
  <c r="R72" i="6" s="1"/>
  <c r="H39" i="15"/>
  <c r="M30" i="6"/>
  <c r="M62" i="6" s="1"/>
  <c r="M72" i="6" s="1"/>
  <c r="D40" i="15"/>
  <c r="I31" i="6"/>
  <c r="I63" i="6" s="1"/>
  <c r="I73" i="6" s="1"/>
  <c r="G39" i="15"/>
  <c r="L30" i="6"/>
  <c r="L62" i="6" s="1"/>
  <c r="L72" i="6" s="1"/>
  <c r="J41" i="15"/>
  <c r="O32" i="6"/>
  <c r="O64" i="6" s="1"/>
  <c r="O74" i="6" s="1"/>
  <c r="M38" i="15"/>
  <c r="R29" i="6"/>
  <c r="C40" i="15"/>
  <c r="H31" i="6"/>
  <c r="Q24" i="15"/>
  <c r="E31" i="6" s="1"/>
  <c r="C31" i="6" s="1"/>
  <c r="F39" i="15"/>
  <c r="K30" i="6"/>
  <c r="K62" i="6" s="1"/>
  <c r="K72" i="6" s="1"/>
  <c r="I41" i="15"/>
  <c r="N32" i="6"/>
  <c r="N64" i="6" s="1"/>
  <c r="N74" i="6" s="1"/>
  <c r="L38" i="15"/>
  <c r="Q29" i="6"/>
  <c r="H16" i="6"/>
  <c r="Q33" i="15"/>
  <c r="E16" i="6" s="1"/>
  <c r="C16" i="6" s="1"/>
  <c r="I39" i="15"/>
  <c r="N30" i="6"/>
  <c r="N62" i="6" s="1"/>
  <c r="N72" i="6" s="1"/>
  <c r="M40" i="15"/>
  <c r="R31" i="6"/>
  <c r="R63" i="6" s="1"/>
  <c r="R73" i="6" s="1"/>
  <c r="H40" i="15"/>
  <c r="M31" i="6"/>
  <c r="M63" i="6" s="1"/>
  <c r="M73" i="6" s="1"/>
  <c r="K39" i="15"/>
  <c r="P30" i="6"/>
  <c r="P62" i="6" s="1"/>
  <c r="P72" i="6" s="1"/>
  <c r="I40" i="15"/>
  <c r="N31" i="6"/>
  <c r="N63" i="6" s="1"/>
  <c r="N73" i="6" s="1"/>
  <c r="G40" i="15"/>
  <c r="L31" i="6"/>
  <c r="L63" i="6" s="1"/>
  <c r="L73" i="6" s="1"/>
  <c r="J39" i="15"/>
  <c r="O30" i="6"/>
  <c r="O62" i="6" s="1"/>
  <c r="O72" i="6" s="1"/>
  <c r="M41" i="15"/>
  <c r="R32" i="6"/>
  <c r="R64" i="6" s="1"/>
  <c r="R74" i="6" s="1"/>
  <c r="F40" i="15"/>
  <c r="K31" i="6"/>
  <c r="K63" i="6" s="1"/>
  <c r="K73" i="6" s="1"/>
  <c r="K38" i="15"/>
  <c r="P29" i="6"/>
  <c r="E39" i="15"/>
  <c r="J30" i="6"/>
  <c r="J62" i="6" s="1"/>
  <c r="J72" i="6" s="1"/>
  <c r="J38" i="15"/>
  <c r="O29" i="6"/>
  <c r="E40" i="15"/>
  <c r="J31" i="6"/>
  <c r="J63" i="6" s="1"/>
  <c r="J73" i="6" s="1"/>
  <c r="L40" i="15"/>
  <c r="Q31" i="6"/>
  <c r="Q63" i="6" s="1"/>
  <c r="Q73" i="6" s="1"/>
  <c r="E38" i="15"/>
  <c r="E42" i="15" s="1"/>
  <c r="J29" i="6"/>
  <c r="D39" i="15"/>
  <c r="I30" i="6"/>
  <c r="I62" i="6" s="1"/>
  <c r="I72" i="6" s="1"/>
  <c r="F38" i="15"/>
  <c r="K29" i="6"/>
  <c r="K40" i="15"/>
  <c r="P31" i="6"/>
  <c r="N39" i="15"/>
  <c r="S30" i="6"/>
  <c r="S62" i="6" s="1"/>
  <c r="S72" i="6" s="1"/>
  <c r="D38" i="15"/>
  <c r="I29" i="6"/>
  <c r="J40" i="15"/>
  <c r="O31" i="6"/>
  <c r="O63" i="6" s="1"/>
  <c r="O73" i="6" s="1"/>
  <c r="H29" i="6"/>
  <c r="L39" i="15"/>
  <c r="Q30" i="6"/>
  <c r="Q62" i="6" s="1"/>
  <c r="Q72" i="6" s="1"/>
  <c r="C39" i="15"/>
  <c r="H30" i="6"/>
  <c r="Q23" i="15"/>
  <c r="E30" i="6" s="1"/>
  <c r="C30" i="6" s="1"/>
  <c r="F41" i="15"/>
  <c r="K32" i="6"/>
  <c r="K64" i="6" s="1"/>
  <c r="K74" i="6" s="1"/>
  <c r="I38" i="15"/>
  <c r="I42" i="15" s="1"/>
  <c r="N29" i="6"/>
  <c r="N38" i="15"/>
  <c r="S29" i="6"/>
  <c r="E41" i="15"/>
  <c r="J32" i="6"/>
  <c r="J64" i="6" s="1"/>
  <c r="J74" i="6" s="1"/>
  <c r="H38" i="15"/>
  <c r="M29" i="6"/>
  <c r="N40" i="15"/>
  <c r="S31" i="6"/>
  <c r="S63" i="6" s="1"/>
  <c r="S73" i="6" s="1"/>
  <c r="H15" i="6"/>
  <c r="T15" i="6" s="1"/>
  <c r="Q32" i="15"/>
  <c r="E15" i="6" s="1"/>
  <c r="C15" i="6" s="1"/>
  <c r="H17" i="6"/>
  <c r="M55" i="6"/>
  <c r="K9" i="1"/>
  <c r="M7" i="1" s="1"/>
  <c r="L9" i="1"/>
  <c r="N6" i="1" s="1"/>
  <c r="I35" i="15"/>
  <c r="N14" i="6"/>
  <c r="S14" i="6"/>
  <c r="N35" i="15"/>
  <c r="Q14" i="6"/>
  <c r="O35" i="15"/>
  <c r="M14" i="6"/>
  <c r="M42" i="15"/>
  <c r="R14" i="6"/>
  <c r="M35" i="15"/>
  <c r="P14" i="6"/>
  <c r="K35" i="15"/>
  <c r="O14" i="6"/>
  <c r="J35" i="15"/>
  <c r="J14" i="6"/>
  <c r="E35" i="15"/>
  <c r="K14" i="6"/>
  <c r="F35" i="15"/>
  <c r="I14" i="6"/>
  <c r="AD51" i="6"/>
  <c r="AD53" i="6" s="1"/>
  <c r="E10" i="2"/>
  <c r="AG55" i="6" s="1"/>
  <c r="E15" i="2"/>
  <c r="AL55" i="6" s="1"/>
  <c r="E8" i="2"/>
  <c r="AE55" i="6" s="1"/>
  <c r="E12" i="2"/>
  <c r="AI55" i="6" s="1"/>
  <c r="E17" i="2"/>
  <c r="AN55" i="6" s="1"/>
  <c r="J23" i="6"/>
  <c r="I24" i="6"/>
  <c r="E17" i="9"/>
  <c r="E343" i="9"/>
  <c r="E53" i="9"/>
  <c r="E494" i="9"/>
  <c r="E292" i="9"/>
  <c r="E410" i="9"/>
  <c r="E98" i="9"/>
  <c r="E508" i="9"/>
  <c r="E297" i="9"/>
  <c r="E204" i="9"/>
  <c r="E29" i="9"/>
  <c r="E359" i="9"/>
  <c r="E351" i="9"/>
  <c r="E322" i="9"/>
  <c r="E169" i="9"/>
  <c r="E266" i="9"/>
  <c r="E242" i="9"/>
  <c r="E89" i="9"/>
  <c r="E41" i="9"/>
  <c r="E375" i="9"/>
  <c r="E396" i="9"/>
  <c r="E82" i="9"/>
  <c r="E281" i="9"/>
  <c r="E76" i="9"/>
  <c r="E298" i="9"/>
  <c r="E156" i="9"/>
  <c r="E407" i="9"/>
  <c r="E373" i="9"/>
  <c r="E376" i="9"/>
  <c r="E337" i="9"/>
  <c r="E400" i="9"/>
  <c r="E257" i="9"/>
  <c r="E470" i="9"/>
  <c r="E253" i="9"/>
  <c r="E425" i="9"/>
  <c r="E220" i="9"/>
  <c r="E445" i="9"/>
  <c r="E64" i="9"/>
  <c r="E320" i="9"/>
  <c r="E345" i="9"/>
  <c r="E97" i="9"/>
  <c r="E505" i="9"/>
  <c r="E216" i="9"/>
  <c r="E287" i="9"/>
  <c r="E481" i="9"/>
  <c r="E133" i="9"/>
  <c r="E304" i="9"/>
  <c r="E404" i="9"/>
  <c r="E250" i="9"/>
  <c r="E72" i="9"/>
  <c r="E413" i="9"/>
  <c r="E388" i="9"/>
  <c r="E239" i="9"/>
  <c r="E140" i="9"/>
  <c r="E399" i="9"/>
  <c r="E237" i="9"/>
  <c r="E408" i="9"/>
  <c r="E7" i="9"/>
  <c r="E330" i="9"/>
  <c r="E273" i="9"/>
  <c r="E509" i="9"/>
  <c r="E325" i="9"/>
  <c r="E193" i="9"/>
  <c r="E93" i="9"/>
  <c r="E264" i="9"/>
  <c r="E439" i="9"/>
  <c r="E478" i="9"/>
  <c r="E296" i="9"/>
  <c r="E305" i="9"/>
  <c r="E384" i="9"/>
  <c r="E282" i="9"/>
  <c r="E88" i="9"/>
  <c r="E236" i="9"/>
  <c r="E285" i="9"/>
  <c r="E49" i="9"/>
  <c r="E386" i="9"/>
  <c r="E233" i="9"/>
  <c r="E487" i="9"/>
  <c r="E377" i="9"/>
  <c r="E434" i="9"/>
  <c r="E263" i="9"/>
  <c r="E61" i="9"/>
  <c r="E412" i="9"/>
  <c r="E249" i="9"/>
  <c r="E33" i="9"/>
  <c r="E212" i="9"/>
  <c r="E362" i="9"/>
  <c r="E132" i="9"/>
  <c r="E186" i="9"/>
  <c r="E265" i="9"/>
  <c r="E15" i="9"/>
  <c r="E431" i="9"/>
  <c r="E224" i="9"/>
  <c r="E397" i="9"/>
  <c r="K9" i="15"/>
  <c r="E462" i="9"/>
  <c r="E208" i="9"/>
  <c r="E300" i="9"/>
  <c r="E498" i="9"/>
  <c r="E104" i="9"/>
  <c r="E453" i="9"/>
  <c r="E87" i="9"/>
  <c r="E135" i="9"/>
  <c r="E59" i="9"/>
  <c r="E205" i="9"/>
  <c r="E183" i="9"/>
  <c r="E103" i="9"/>
  <c r="E324" i="9"/>
  <c r="E66" i="9"/>
  <c r="E423" i="9"/>
  <c r="E5" i="9"/>
  <c r="E327" i="9"/>
  <c r="E271" i="9"/>
  <c r="E21" i="9"/>
  <c r="E119" i="9"/>
  <c r="E340" i="9"/>
  <c r="E167" i="9"/>
  <c r="E47" i="9"/>
  <c r="E383" i="9"/>
  <c r="E241" i="9"/>
  <c r="E245" i="9"/>
  <c r="E416" i="9"/>
  <c r="E39" i="9"/>
  <c r="E130" i="9"/>
  <c r="E372" i="9"/>
  <c r="E178" i="9"/>
  <c r="E68" i="9"/>
  <c r="E143" i="9"/>
  <c r="E226" i="9"/>
  <c r="E73" i="9"/>
  <c r="E63" i="9"/>
  <c r="E146" i="9"/>
  <c r="E426" i="9"/>
  <c r="E463" i="9"/>
  <c r="E329" i="9"/>
  <c r="E289" i="9"/>
  <c r="E37" i="9"/>
  <c r="E370" i="9"/>
  <c r="E217" i="9"/>
  <c r="E162" i="9"/>
  <c r="E469" i="9"/>
  <c r="E210" i="9"/>
  <c r="E51" i="9"/>
  <c r="E473" i="9"/>
  <c r="E284" i="9"/>
  <c r="E96" i="9"/>
  <c r="E442" i="9"/>
  <c r="N9" i="15"/>
  <c r="E446" i="9"/>
  <c r="E81" i="9"/>
  <c r="E506" i="9"/>
  <c r="E385" i="9"/>
  <c r="E317" i="9"/>
  <c r="E510" i="9"/>
  <c r="E348" i="9"/>
  <c r="E225" i="9"/>
  <c r="E449" i="9"/>
  <c r="E109" i="9"/>
  <c r="E280" i="9"/>
  <c r="E460" i="9"/>
  <c r="E74" i="9"/>
  <c r="E409" i="9"/>
  <c r="E197" i="9"/>
  <c r="E368" i="9"/>
  <c r="E43" i="9"/>
  <c r="E378" i="9"/>
  <c r="E513" i="9"/>
  <c r="E136" i="9"/>
  <c r="C9" i="15"/>
  <c r="E520" i="9"/>
  <c r="E389" i="9"/>
  <c r="E79" i="9"/>
  <c r="E458" i="9"/>
  <c r="E321" i="9"/>
  <c r="E157" i="9"/>
  <c r="E328" i="9"/>
  <c r="E528" i="9"/>
  <c r="E349" i="9"/>
  <c r="E128" i="9"/>
  <c r="E11" i="9"/>
  <c r="E484" i="9"/>
  <c r="E116" i="9"/>
  <c r="E19" i="9"/>
  <c r="E77" i="9"/>
  <c r="E151" i="9"/>
  <c r="E441" i="9"/>
  <c r="E71" i="9"/>
  <c r="E437" i="9"/>
  <c r="E260" i="9"/>
  <c r="E31" i="9"/>
  <c r="E141" i="9"/>
  <c r="E100" i="9"/>
  <c r="E333" i="9"/>
  <c r="E127" i="9"/>
  <c r="E516" i="9"/>
  <c r="E117" i="9"/>
  <c r="E288" i="9"/>
  <c r="E471" i="9"/>
  <c r="G9" i="15"/>
  <c r="E474" i="9"/>
  <c r="E438" i="9"/>
  <c r="E272" i="9"/>
  <c r="G15" i="15"/>
  <c r="E476" i="9"/>
  <c r="E168" i="9"/>
  <c r="E192" i="9"/>
  <c r="E457" i="9"/>
  <c r="E35" i="9"/>
  <c r="E367" i="9"/>
  <c r="E268" i="9"/>
  <c r="E477" i="9"/>
  <c r="E301" i="9"/>
  <c r="E489" i="9"/>
  <c r="E215" i="9"/>
  <c r="E55" i="9"/>
  <c r="E184" i="9"/>
  <c r="E306" i="9"/>
  <c r="E153" i="9"/>
  <c r="E319" i="9"/>
  <c r="E311" i="9"/>
  <c r="E234" i="9"/>
  <c r="E231" i="9"/>
  <c r="E90" i="9"/>
  <c r="E248" i="9"/>
  <c r="E194" i="9"/>
  <c r="E23" i="9"/>
  <c r="E114" i="9"/>
  <c r="E332" i="9"/>
  <c r="E247" i="9"/>
  <c r="E106" i="9"/>
  <c r="E312" i="9"/>
  <c r="E295" i="9"/>
  <c r="E218" i="9"/>
  <c r="E170" i="9"/>
  <c r="E369" i="9"/>
  <c r="E309" i="9"/>
  <c r="E503" i="9"/>
  <c r="E209" i="9"/>
  <c r="E466" i="9"/>
  <c r="E80" i="9"/>
  <c r="D18" i="15"/>
  <c r="E129" i="9"/>
  <c r="E394" i="9"/>
  <c r="E189" i="9"/>
  <c r="E360" i="9"/>
  <c r="E92" i="9"/>
  <c r="E490" i="9"/>
  <c r="E430" i="9"/>
  <c r="E152" i="9"/>
  <c r="E308" i="9"/>
  <c r="E159" i="9"/>
  <c r="E402" i="9"/>
  <c r="E240" i="9"/>
  <c r="E122" i="9"/>
  <c r="E364" i="9"/>
  <c r="E258" i="9"/>
  <c r="E105" i="9"/>
  <c r="E138" i="9"/>
  <c r="E196" i="9"/>
  <c r="E501" i="9"/>
  <c r="E25" i="9"/>
  <c r="E354" i="9"/>
  <c r="E201" i="9"/>
  <c r="E346" i="9"/>
  <c r="E274" i="9"/>
  <c r="E121" i="9"/>
  <c r="E175" i="9"/>
  <c r="E84" i="9"/>
  <c r="E95" i="9"/>
  <c r="E269" i="9"/>
  <c r="E455" i="9"/>
  <c r="E290" i="9"/>
  <c r="E137" i="9"/>
  <c r="E191" i="9"/>
  <c r="E13" i="9"/>
  <c r="E338" i="9"/>
  <c r="E185" i="9"/>
  <c r="E303" i="9"/>
  <c r="E361" i="9"/>
  <c r="E160" i="9"/>
  <c r="E252" i="9"/>
  <c r="E495" i="9"/>
  <c r="E336" i="9"/>
  <c r="E314" i="9"/>
  <c r="E172" i="9"/>
  <c r="E415" i="9"/>
  <c r="E381" i="9"/>
  <c r="E256" i="9"/>
  <c r="L18" i="15"/>
  <c r="E111" i="9"/>
  <c r="E353" i="9"/>
  <c r="E173" i="9"/>
  <c r="E344" i="9"/>
  <c r="E202" i="9"/>
  <c r="E261" i="9"/>
  <c r="E313" i="9"/>
  <c r="E65" i="9"/>
  <c r="E420" i="9"/>
  <c r="E200" i="9"/>
  <c r="E177" i="9"/>
  <c r="E418" i="9"/>
  <c r="E154" i="9"/>
  <c r="E365" i="9"/>
  <c r="E145" i="9"/>
  <c r="E452" i="9"/>
  <c r="E112" i="9"/>
  <c r="E356" i="9"/>
  <c r="E207" i="9"/>
  <c r="E108" i="9"/>
  <c r="E221" i="9"/>
  <c r="E176" i="9"/>
  <c r="E335" i="9"/>
  <c r="E148" i="9"/>
  <c r="E223" i="9"/>
  <c r="E391" i="9"/>
  <c r="E161" i="9"/>
  <c r="E57" i="9"/>
  <c r="E401" i="9"/>
  <c r="E244" i="9"/>
  <c r="E164" i="9"/>
  <c r="E279" i="9"/>
  <c r="E199" i="9"/>
  <c r="E27" i="9"/>
  <c r="E120" i="9"/>
  <c r="E9" i="9"/>
  <c r="E180" i="9"/>
  <c r="E45" i="9"/>
  <c r="E228" i="9"/>
  <c r="E417" i="9"/>
  <c r="E255" i="9"/>
  <c r="E113" i="9"/>
  <c r="E181" i="9"/>
  <c r="E352" i="9"/>
  <c r="E144" i="9"/>
  <c r="E232" i="9"/>
  <c r="E393" i="9"/>
  <c r="E392" i="9"/>
  <c r="E125" i="9"/>
  <c r="H18" i="15"/>
  <c r="E502" i="9"/>
  <c r="F502" i="9" l="1"/>
  <c r="H34" i="15"/>
  <c r="H25" i="15"/>
  <c r="F125" i="9"/>
  <c r="F392" i="9"/>
  <c r="F393" i="9"/>
  <c r="F232" i="9"/>
  <c r="F144" i="9"/>
  <c r="F352" i="9"/>
  <c r="F181" i="9"/>
  <c r="F113" i="9"/>
  <c r="F255" i="9"/>
  <c r="F417" i="9"/>
  <c r="F228" i="9"/>
  <c r="F45" i="9"/>
  <c r="F180" i="9"/>
  <c r="F9" i="9"/>
  <c r="F120" i="9"/>
  <c r="F27" i="9"/>
  <c r="F199" i="9"/>
  <c r="F279" i="9"/>
  <c r="F164" i="9"/>
  <c r="F244" i="9"/>
  <c r="F401" i="9"/>
  <c r="F57" i="9"/>
  <c r="F161" i="9"/>
  <c r="F391" i="9"/>
  <c r="F223" i="9"/>
  <c r="F148" i="9"/>
  <c r="F335" i="9"/>
  <c r="F176" i="9"/>
  <c r="F221" i="9"/>
  <c r="F108" i="9"/>
  <c r="F207" i="9"/>
  <c r="F356" i="9"/>
  <c r="F112" i="9"/>
  <c r="F452" i="9"/>
  <c r="F145" i="9"/>
  <c r="F365" i="9"/>
  <c r="F154" i="9"/>
  <c r="F418" i="9"/>
  <c r="F177" i="9"/>
  <c r="F200" i="9"/>
  <c r="F420" i="9"/>
  <c r="F65" i="9"/>
  <c r="F313" i="9"/>
  <c r="F261" i="9"/>
  <c r="F202" i="9"/>
  <c r="F344" i="9"/>
  <c r="F173" i="9"/>
  <c r="F353" i="9"/>
  <c r="F111" i="9"/>
  <c r="L34" i="15"/>
  <c r="L25" i="15"/>
  <c r="F256" i="9"/>
  <c r="F381" i="9"/>
  <c r="F415" i="9"/>
  <c r="F172" i="9"/>
  <c r="F314" i="9"/>
  <c r="F336" i="9"/>
  <c r="F495" i="9"/>
  <c r="F252" i="9"/>
  <c r="F160" i="9"/>
  <c r="F361" i="9"/>
  <c r="F303" i="9"/>
  <c r="F185" i="9"/>
  <c r="F338" i="9"/>
  <c r="F13" i="9"/>
  <c r="F191" i="9"/>
  <c r="F137" i="9"/>
  <c r="F290" i="9"/>
  <c r="F455" i="9"/>
  <c r="F269" i="9"/>
  <c r="F95" i="9"/>
  <c r="F84" i="9"/>
  <c r="F175" i="9"/>
  <c r="F121" i="9"/>
  <c r="F274" i="9"/>
  <c r="F346" i="9"/>
  <c r="F201" i="9"/>
  <c r="F354" i="9"/>
  <c r="F25" i="9"/>
  <c r="F501" i="9"/>
  <c r="F196" i="9"/>
  <c r="F138" i="9"/>
  <c r="F105" i="9"/>
  <c r="F258" i="9"/>
  <c r="F364" i="9"/>
  <c r="F122" i="9"/>
  <c r="F240" i="9"/>
  <c r="F402" i="9"/>
  <c r="F159" i="9"/>
  <c r="F308" i="9"/>
  <c r="F152" i="9"/>
  <c r="F430" i="9"/>
  <c r="F490" i="9"/>
  <c r="F92" i="9"/>
  <c r="F360" i="9"/>
  <c r="F189" i="9"/>
  <c r="F394" i="9"/>
  <c r="F129" i="9"/>
  <c r="D34" i="15"/>
  <c r="D25" i="15"/>
  <c r="Q18" i="15"/>
  <c r="F80" i="9"/>
  <c r="F466" i="9"/>
  <c r="F209" i="9"/>
  <c r="F503" i="9"/>
  <c r="F309" i="9"/>
  <c r="F369" i="9"/>
  <c r="F170" i="9"/>
  <c r="F218" i="9"/>
  <c r="F295" i="9"/>
  <c r="F312" i="9"/>
  <c r="F106" i="9"/>
  <c r="F247" i="9"/>
  <c r="F332" i="9"/>
  <c r="F114" i="9"/>
  <c r="F23" i="9"/>
  <c r="F194" i="9"/>
  <c r="F248" i="9"/>
  <c r="F90" i="9"/>
  <c r="F231" i="9"/>
  <c r="F234" i="9"/>
  <c r="F311" i="9"/>
  <c r="F319" i="9"/>
  <c r="F153" i="9"/>
  <c r="F306" i="9"/>
  <c r="F184" i="9"/>
  <c r="F55" i="9"/>
  <c r="F215" i="9"/>
  <c r="F489" i="9"/>
  <c r="F301" i="9"/>
  <c r="F477" i="9"/>
  <c r="F268" i="9"/>
  <c r="F367" i="9"/>
  <c r="F35" i="9"/>
  <c r="F457" i="9"/>
  <c r="F192" i="9"/>
  <c r="F168" i="9"/>
  <c r="F476" i="9"/>
  <c r="G31" i="15"/>
  <c r="Q15" i="15"/>
  <c r="Q19" i="15" s="1"/>
  <c r="G22" i="15"/>
  <c r="F272" i="9"/>
  <c r="F438" i="9"/>
  <c r="F474" i="9"/>
  <c r="G123" i="8"/>
  <c r="G25" i="15"/>
  <c r="F471" i="9"/>
  <c r="F288" i="9"/>
  <c r="F117" i="9"/>
  <c r="F516" i="9"/>
  <c r="F127" i="9"/>
  <c r="F333" i="9"/>
  <c r="F100" i="9"/>
  <c r="F141" i="9"/>
  <c r="F31" i="9"/>
  <c r="F260" i="9"/>
  <c r="F437" i="9"/>
  <c r="F71" i="9"/>
  <c r="F441" i="9"/>
  <c r="F151" i="9"/>
  <c r="F77" i="9"/>
  <c r="F19" i="9"/>
  <c r="F116" i="9"/>
  <c r="F484" i="9"/>
  <c r="F11" i="9"/>
  <c r="F128" i="9"/>
  <c r="F349" i="9"/>
  <c r="F528" i="9"/>
  <c r="F328" i="9"/>
  <c r="F157" i="9"/>
  <c r="F321" i="9"/>
  <c r="F458" i="9"/>
  <c r="F79" i="9"/>
  <c r="F389" i="9"/>
  <c r="F520" i="9"/>
  <c r="Q9" i="15"/>
  <c r="C123" i="8"/>
  <c r="C25" i="15"/>
  <c r="F136" i="9"/>
  <c r="F513" i="9"/>
  <c r="F378" i="9"/>
  <c r="F43" i="9"/>
  <c r="F368" i="9"/>
  <c r="F197" i="9"/>
  <c r="F409" i="9"/>
  <c r="F74" i="9"/>
  <c r="F460" i="9"/>
  <c r="F280" i="9"/>
  <c r="F109" i="9"/>
  <c r="F449" i="9"/>
  <c r="F225" i="9"/>
  <c r="F348" i="9"/>
  <c r="F510" i="9"/>
  <c r="F317" i="9"/>
  <c r="F385" i="9"/>
  <c r="F506" i="9"/>
  <c r="F81" i="9"/>
  <c r="F446" i="9"/>
  <c r="N123" i="8"/>
  <c r="N25" i="15"/>
  <c r="F442" i="9"/>
  <c r="F96" i="9"/>
  <c r="F284" i="9"/>
  <c r="F473" i="9"/>
  <c r="F51" i="9"/>
  <c r="F210" i="9"/>
  <c r="F469" i="9"/>
  <c r="F162" i="9"/>
  <c r="F217" i="9"/>
  <c r="F370" i="9"/>
  <c r="F37" i="9"/>
  <c r="F289" i="9"/>
  <c r="F329" i="9"/>
  <c r="F463" i="9"/>
  <c r="F426" i="9"/>
  <c r="F146" i="9"/>
  <c r="F63" i="9"/>
  <c r="F73" i="9"/>
  <c r="F226" i="9"/>
  <c r="F143" i="9"/>
  <c r="F68" i="9"/>
  <c r="F178" i="9"/>
  <c r="F372" i="9"/>
  <c r="F130" i="9"/>
  <c r="F39" i="9"/>
  <c r="F416" i="9"/>
  <c r="F245" i="9"/>
  <c r="F241" i="9"/>
  <c r="F383" i="9"/>
  <c r="F47" i="9"/>
  <c r="F167" i="9"/>
  <c r="F340" i="9"/>
  <c r="F119" i="9"/>
  <c r="F21" i="9"/>
  <c r="F271" i="9"/>
  <c r="F327" i="9"/>
  <c r="F5" i="9"/>
  <c r="I4" i="9"/>
  <c r="I6" i="9"/>
  <c r="I5" i="9"/>
  <c r="F423" i="9"/>
  <c r="F66" i="9"/>
  <c r="F324" i="9"/>
  <c r="F103" i="9"/>
  <c r="F183" i="9"/>
  <c r="F205" i="9"/>
  <c r="F59" i="9"/>
  <c r="F135" i="9"/>
  <c r="F87" i="9"/>
  <c r="F453" i="9"/>
  <c r="F104" i="9"/>
  <c r="F498" i="9"/>
  <c r="F300" i="9"/>
  <c r="F208" i="9"/>
  <c r="F462" i="9"/>
  <c r="K123" i="8"/>
  <c r="K25" i="15"/>
  <c r="F397" i="9"/>
  <c r="F224" i="9"/>
  <c r="F431" i="9"/>
  <c r="F15" i="9"/>
  <c r="F265" i="9"/>
  <c r="F186" i="9"/>
  <c r="F132" i="9"/>
  <c r="F362" i="9"/>
  <c r="F212" i="9"/>
  <c r="F33" i="9"/>
  <c r="F249" i="9"/>
  <c r="F412" i="9"/>
  <c r="F61" i="9"/>
  <c r="F263" i="9"/>
  <c r="F434" i="9"/>
  <c r="F377" i="9"/>
  <c r="F487" i="9"/>
  <c r="F233" i="9"/>
  <c r="F386" i="9"/>
  <c r="F49" i="9"/>
  <c r="F285" i="9"/>
  <c r="F236" i="9"/>
  <c r="F88" i="9"/>
  <c r="F282" i="9"/>
  <c r="F384" i="9"/>
  <c r="F305" i="9"/>
  <c r="F296" i="9"/>
  <c r="F478" i="9"/>
  <c r="F439" i="9"/>
  <c r="F264" i="9"/>
  <c r="F93" i="9"/>
  <c r="F193" i="9"/>
  <c r="F325" i="9"/>
  <c r="F509" i="9"/>
  <c r="F273" i="9"/>
  <c r="F330" i="9"/>
  <c r="F7" i="9"/>
  <c r="F408" i="9"/>
  <c r="F237" i="9"/>
  <c r="F399" i="9"/>
  <c r="F140" i="9"/>
  <c r="F239" i="9"/>
  <c r="F388" i="9"/>
  <c r="F413" i="9"/>
  <c r="F72" i="9"/>
  <c r="F250" i="9"/>
  <c r="F404" i="9"/>
  <c r="F304" i="9"/>
  <c r="F133" i="9"/>
  <c r="F481" i="9"/>
  <c r="F287" i="9"/>
  <c r="F216" i="9"/>
  <c r="F505" i="9"/>
  <c r="F97" i="9"/>
  <c r="F345" i="9"/>
  <c r="F320" i="9"/>
  <c r="F64" i="9"/>
  <c r="F445" i="9"/>
  <c r="F220" i="9"/>
  <c r="F425" i="9"/>
  <c r="F253" i="9"/>
  <c r="F470" i="9"/>
  <c r="F257" i="9"/>
  <c r="F400" i="9"/>
  <c r="F337" i="9"/>
  <c r="F376" i="9"/>
  <c r="F373" i="9"/>
  <c r="F407" i="9"/>
  <c r="F156" i="9"/>
  <c r="F298" i="9"/>
  <c r="F76" i="9"/>
  <c r="F281" i="9"/>
  <c r="F82" i="9"/>
  <c r="F396" i="9"/>
  <c r="F375" i="9"/>
  <c r="F41" i="9"/>
  <c r="F89" i="9"/>
  <c r="F242" i="9"/>
  <c r="F266" i="9"/>
  <c r="F169" i="9"/>
  <c r="F322" i="9"/>
  <c r="F351" i="9"/>
  <c r="F359" i="9"/>
  <c r="F29" i="9"/>
  <c r="F204" i="9"/>
  <c r="F297" i="9"/>
  <c r="F508" i="9"/>
  <c r="F98" i="9"/>
  <c r="F410" i="9"/>
  <c r="F292" i="9"/>
  <c r="F494" i="9"/>
  <c r="F53" i="9"/>
  <c r="F343" i="9"/>
  <c r="F17" i="9"/>
  <c r="Q31" i="15"/>
  <c r="E14" i="6" s="1"/>
  <c r="C14" i="6" s="1"/>
  <c r="N7" i="1"/>
  <c r="N8" i="1"/>
  <c r="C38" i="15"/>
  <c r="P63" i="6"/>
  <c r="P73" i="6" s="1"/>
  <c r="C26" i="15"/>
  <c r="O39" i="15"/>
  <c r="J26" i="15"/>
  <c r="H14" i="6"/>
  <c r="C35" i="15"/>
  <c r="N5" i="1"/>
  <c r="K26" i="15"/>
  <c r="O40" i="15"/>
  <c r="I26" i="15"/>
  <c r="O41" i="15"/>
  <c r="T16" i="6"/>
  <c r="F42" i="15"/>
  <c r="AE52" i="6"/>
  <c r="AF52" i="6" s="1"/>
  <c r="AC86" i="6"/>
  <c r="AO86" i="6" s="1"/>
  <c r="AC57" i="6"/>
  <c r="AC95" i="6"/>
  <c r="AC96" i="6" s="1"/>
  <c r="AD94" i="6"/>
  <c r="I61" i="6"/>
  <c r="I71" i="6" s="1"/>
  <c r="Q61" i="6"/>
  <c r="J18" i="6"/>
  <c r="J61" i="6"/>
  <c r="P18" i="6"/>
  <c r="P61" i="6"/>
  <c r="P71" i="6" s="1"/>
  <c r="R18" i="6"/>
  <c r="R61" i="6"/>
  <c r="N18" i="6"/>
  <c r="N61" i="6"/>
  <c r="N71" i="6" s="1"/>
  <c r="H63" i="6"/>
  <c r="K18" i="6"/>
  <c r="K61" i="6"/>
  <c r="K71" i="6" s="1"/>
  <c r="K75" i="6" s="1"/>
  <c r="O18" i="6"/>
  <c r="O61" i="6"/>
  <c r="M61" i="6"/>
  <c r="M71" i="6" s="1"/>
  <c r="H62" i="6"/>
  <c r="S18" i="6"/>
  <c r="S61" i="6"/>
  <c r="S71" i="6" s="1"/>
  <c r="AC31" i="6"/>
  <c r="Q39" i="15"/>
  <c r="AN30" i="6"/>
  <c r="J42" i="15"/>
  <c r="F128" i="8"/>
  <c r="J128" i="8"/>
  <c r="M128" i="8"/>
  <c r="I128" i="8"/>
  <c r="Q40" i="15"/>
  <c r="E128" i="8"/>
  <c r="K128" i="8"/>
  <c r="N128" i="8"/>
  <c r="AE51" i="6"/>
  <c r="AE53" i="6" s="1"/>
  <c r="K33" i="6"/>
  <c r="H18" i="6"/>
  <c r="N33" i="6"/>
  <c r="J33" i="6"/>
  <c r="R33" i="6"/>
  <c r="O33" i="6"/>
  <c r="AD95" i="6"/>
  <c r="AD57" i="6"/>
  <c r="K23" i="6"/>
  <c r="J24" i="6"/>
  <c r="H61" i="6" l="1"/>
  <c r="J12" i="9"/>
  <c r="I11" i="9"/>
  <c r="I9" i="9"/>
  <c r="J10" i="9"/>
  <c r="I12" i="9"/>
  <c r="K12" i="9" s="1"/>
  <c r="J9" i="9"/>
  <c r="I10" i="9"/>
  <c r="J11" i="9"/>
  <c r="G26" i="15"/>
  <c r="L29" i="6"/>
  <c r="Q22" i="15"/>
  <c r="E29" i="6" s="1"/>
  <c r="C29" i="6" s="1"/>
  <c r="AI29" i="6" s="1"/>
  <c r="I32" i="6"/>
  <c r="D26" i="15"/>
  <c r="G38" i="15"/>
  <c r="G35" i="15"/>
  <c r="G128" i="8" s="1"/>
  <c r="L14" i="6"/>
  <c r="I17" i="6"/>
  <c r="Q34" i="15"/>
  <c r="E17" i="6" s="1"/>
  <c r="C17" i="6" s="1"/>
  <c r="AK17" i="6" s="1"/>
  <c r="D41" i="15"/>
  <c r="D42" i="15" s="1"/>
  <c r="D35" i="15"/>
  <c r="D128" i="8" s="1"/>
  <c r="L26" i="15"/>
  <c r="Q32" i="6"/>
  <c r="C41" i="15"/>
  <c r="Q25" i="15"/>
  <c r="E32" i="6" s="1"/>
  <c r="C32" i="6" s="1"/>
  <c r="AD32" i="6" s="1"/>
  <c r="H32" i="6"/>
  <c r="L32" i="6"/>
  <c r="L64" i="6" s="1"/>
  <c r="L74" i="6" s="1"/>
  <c r="G41" i="15"/>
  <c r="Q17" i="6"/>
  <c r="Q18" i="6" s="1"/>
  <c r="L35" i="15"/>
  <c r="L128" i="8" s="1"/>
  <c r="L41" i="15"/>
  <c r="L42" i="15" s="1"/>
  <c r="K41" i="15"/>
  <c r="K42" i="15" s="1"/>
  <c r="P32" i="6"/>
  <c r="S32" i="6"/>
  <c r="N26" i="15"/>
  <c r="N41" i="15"/>
  <c r="N42" i="15" s="1"/>
  <c r="H26" i="15"/>
  <c r="M32" i="6"/>
  <c r="C128" i="8"/>
  <c r="O42" i="15"/>
  <c r="M17" i="6"/>
  <c r="M18" i="6" s="1"/>
  <c r="H35" i="15"/>
  <c r="H128" i="8" s="1"/>
  <c r="H41" i="15"/>
  <c r="H42" i="15" s="1"/>
  <c r="AD30" i="6"/>
  <c r="AM30" i="6"/>
  <c r="AE94" i="6"/>
  <c r="AE85" i="6"/>
  <c r="AH30" i="6"/>
  <c r="AG30" i="6"/>
  <c r="T62" i="6"/>
  <c r="H72" i="6"/>
  <c r="O65" i="6"/>
  <c r="O71" i="6"/>
  <c r="T63" i="6"/>
  <c r="H73" i="6"/>
  <c r="Q71" i="6"/>
  <c r="R65" i="6"/>
  <c r="R71" i="6"/>
  <c r="R75" i="6" s="1"/>
  <c r="J65" i="6"/>
  <c r="J71" i="6"/>
  <c r="N75" i="6"/>
  <c r="H78" i="6"/>
  <c r="I78" i="6" s="1"/>
  <c r="AK31" i="6"/>
  <c r="AC30" i="6"/>
  <c r="AI30" i="6"/>
  <c r="AK30" i="6"/>
  <c r="AM15" i="6"/>
  <c r="AI15" i="6"/>
  <c r="AE15" i="6"/>
  <c r="AC15" i="6"/>
  <c r="AF15" i="6"/>
  <c r="AL15" i="6"/>
  <c r="AH15" i="6"/>
  <c r="AD15" i="6"/>
  <c r="AD62" i="6" s="1"/>
  <c r="AD72" i="6" s="1"/>
  <c r="AN15" i="6"/>
  <c r="AK15" i="6"/>
  <c r="AG15" i="6"/>
  <c r="AJ15" i="6"/>
  <c r="AN16" i="6"/>
  <c r="AJ16" i="6"/>
  <c r="AF16" i="6"/>
  <c r="AG16" i="6"/>
  <c r="AC16" i="6"/>
  <c r="AC63" i="6" s="1"/>
  <c r="AC73" i="6" s="1"/>
  <c r="AM16" i="6"/>
  <c r="AI16" i="6"/>
  <c r="AE16" i="6"/>
  <c r="AL16" i="6"/>
  <c r="AH16" i="6"/>
  <c r="AD16" i="6"/>
  <c r="AK16" i="6"/>
  <c r="AM14" i="6"/>
  <c r="AK14" i="6"/>
  <c r="AF14" i="6"/>
  <c r="AJ14" i="6"/>
  <c r="AD14" i="6"/>
  <c r="AL14" i="6"/>
  <c r="AN14" i="6"/>
  <c r="AH14" i="6"/>
  <c r="AG14" i="6"/>
  <c r="AE14" i="6"/>
  <c r="AI14" i="6"/>
  <c r="AN17" i="6"/>
  <c r="AF17" i="6"/>
  <c r="AM17" i="6"/>
  <c r="AL17" i="6"/>
  <c r="AC98" i="6"/>
  <c r="AC91" i="6"/>
  <c r="AC92" i="6" s="1"/>
  <c r="AJ30" i="6"/>
  <c r="AF30" i="6"/>
  <c r="AM31" i="6"/>
  <c r="AL30" i="6"/>
  <c r="AE30" i="6"/>
  <c r="AE62" i="6" s="1"/>
  <c r="AE72" i="6" s="1"/>
  <c r="AH31" i="6"/>
  <c r="AI31" i="6"/>
  <c r="AG31" i="6"/>
  <c r="AL31" i="6"/>
  <c r="AN31" i="6"/>
  <c r="AE31" i="6"/>
  <c r="AD31" i="6"/>
  <c r="AD63" i="6" s="1"/>
  <c r="AD73" i="6" s="1"/>
  <c r="AJ31" i="6"/>
  <c r="AF31" i="6"/>
  <c r="K65" i="6"/>
  <c r="N65" i="6"/>
  <c r="AD29" i="6"/>
  <c r="AC32" i="6"/>
  <c r="AK32" i="6"/>
  <c r="AM32" i="6"/>
  <c r="AL32" i="6"/>
  <c r="AF32" i="6"/>
  <c r="AI32" i="6"/>
  <c r="AG32" i="6"/>
  <c r="AE32" i="6"/>
  <c r="AD96" i="6"/>
  <c r="AF51" i="6"/>
  <c r="AF53" i="6" s="1"/>
  <c r="AF85" i="6"/>
  <c r="O34" i="6"/>
  <c r="AM29" i="6"/>
  <c r="AL29" i="6"/>
  <c r="AF29" i="6"/>
  <c r="AJ29" i="6"/>
  <c r="AN29" i="6"/>
  <c r="AH29" i="6"/>
  <c r="AG29" i="6"/>
  <c r="C33" i="6"/>
  <c r="C18" i="6"/>
  <c r="K34" i="6"/>
  <c r="AF94" i="6"/>
  <c r="AD91" i="6"/>
  <c r="AD98" i="6"/>
  <c r="AE57" i="6"/>
  <c r="AE95" i="6"/>
  <c r="AG52" i="6"/>
  <c r="L23" i="6"/>
  <c r="K24" i="6"/>
  <c r="AD17" i="6" l="1"/>
  <c r="AD64" i="6" s="1"/>
  <c r="AD74" i="6" s="1"/>
  <c r="I13" i="9"/>
  <c r="K9" i="9"/>
  <c r="AJ32" i="6"/>
  <c r="AJ17" i="6"/>
  <c r="S64" i="6"/>
  <c r="S33" i="6"/>
  <c r="S34" i="6" s="1"/>
  <c r="H33" i="6"/>
  <c r="H64" i="6"/>
  <c r="T17" i="6"/>
  <c r="I18" i="6"/>
  <c r="T18" i="6" s="1"/>
  <c r="L33" i="6"/>
  <c r="L34" i="6" s="1"/>
  <c r="K11" i="9"/>
  <c r="P64" i="6"/>
  <c r="P33" i="6"/>
  <c r="P34" i="6" s="1"/>
  <c r="L18" i="6"/>
  <c r="L61" i="6"/>
  <c r="AC17" i="6"/>
  <c r="C42" i="15"/>
  <c r="Q41" i="15"/>
  <c r="AK29" i="6"/>
  <c r="AK33" i="6" s="1"/>
  <c r="AE29" i="6"/>
  <c r="AE61" i="6" s="1"/>
  <c r="AH32" i="6"/>
  <c r="AN32" i="6"/>
  <c r="AE17" i="6"/>
  <c r="AG17" i="6"/>
  <c r="Q64" i="6"/>
  <c r="Q33" i="6"/>
  <c r="Q38" i="15"/>
  <c r="G42" i="15"/>
  <c r="K10" i="9"/>
  <c r="AH17" i="6"/>
  <c r="AC29" i="6"/>
  <c r="AC33" i="6" s="1"/>
  <c r="AI17" i="6"/>
  <c r="M64" i="6"/>
  <c r="M33" i="6"/>
  <c r="J13" i="9"/>
  <c r="Q35" i="15"/>
  <c r="I64" i="6"/>
  <c r="I33" i="6"/>
  <c r="T14" i="6"/>
  <c r="AE96" i="6"/>
  <c r="AC62" i="6"/>
  <c r="AC72" i="6" s="1"/>
  <c r="AC79" i="6" s="1"/>
  <c r="AD79" i="6" s="1"/>
  <c r="AE79" i="6" s="1"/>
  <c r="AE63" i="6"/>
  <c r="AE73" i="6" s="1"/>
  <c r="O75" i="6"/>
  <c r="J78" i="6"/>
  <c r="J75" i="6"/>
  <c r="T73" i="6"/>
  <c r="H80" i="6"/>
  <c r="T72" i="6"/>
  <c r="H79" i="6"/>
  <c r="AD18" i="6"/>
  <c r="AC61" i="6"/>
  <c r="AC71" i="6" s="1"/>
  <c r="AC18" i="6"/>
  <c r="AI18" i="6"/>
  <c r="AF62" i="6"/>
  <c r="AF72" i="6" s="1"/>
  <c r="AK18" i="6"/>
  <c r="AC64" i="6"/>
  <c r="AC74" i="6" s="1"/>
  <c r="AC81" i="6" s="1"/>
  <c r="AD81" i="6" s="1"/>
  <c r="AG18" i="6"/>
  <c r="AL18" i="6"/>
  <c r="AJ18" i="6"/>
  <c r="AM18" i="6"/>
  <c r="AE18" i="6"/>
  <c r="AN18" i="6"/>
  <c r="AH18" i="6"/>
  <c r="AF18" i="6"/>
  <c r="AD61" i="6"/>
  <c r="AF61" i="6"/>
  <c r="AF63" i="6"/>
  <c r="AF73" i="6" s="1"/>
  <c r="AE64" i="6"/>
  <c r="AE74" i="6" s="1"/>
  <c r="AF64" i="6"/>
  <c r="AF74" i="6" s="1"/>
  <c r="AD92" i="6"/>
  <c r="AG51" i="6"/>
  <c r="AG53" i="6" s="1"/>
  <c r="AG61" i="6" s="1"/>
  <c r="AG85" i="6"/>
  <c r="AC80" i="6"/>
  <c r="AD80" i="6" s="1"/>
  <c r="AG33" i="6"/>
  <c r="AF33" i="6"/>
  <c r="AD33" i="6"/>
  <c r="AH33" i="6"/>
  <c r="AL33" i="6"/>
  <c r="AN33" i="6"/>
  <c r="AM33" i="6"/>
  <c r="AJ33" i="6"/>
  <c r="AI33" i="6"/>
  <c r="AG94" i="6"/>
  <c r="AE91" i="6"/>
  <c r="AE92" i="6" s="1"/>
  <c r="AE98" i="6"/>
  <c r="AF95" i="6"/>
  <c r="AF57" i="6"/>
  <c r="AH52" i="6"/>
  <c r="M23" i="6"/>
  <c r="L24" i="6"/>
  <c r="I74" i="6" l="1"/>
  <c r="I75" i="6" s="1"/>
  <c r="I65" i="6"/>
  <c r="P74" i="6"/>
  <c r="P75" i="6" s="1"/>
  <c r="P65" i="6"/>
  <c r="S74" i="6"/>
  <c r="S75" i="6" s="1"/>
  <c r="S65" i="6"/>
  <c r="AE33" i="6"/>
  <c r="N34" i="6"/>
  <c r="M34" i="6"/>
  <c r="Q34" i="6"/>
  <c r="R34" i="6"/>
  <c r="M74" i="6"/>
  <c r="M75" i="6" s="1"/>
  <c r="M65" i="6"/>
  <c r="Q74" i="6"/>
  <c r="Q75" i="6" s="1"/>
  <c r="Q65" i="6"/>
  <c r="Q42" i="15"/>
  <c r="L71" i="6"/>
  <c r="L65" i="6"/>
  <c r="T61" i="6"/>
  <c r="H65" i="6"/>
  <c r="T64" i="6"/>
  <c r="H74" i="6"/>
  <c r="L9" i="9"/>
  <c r="L11" i="9"/>
  <c r="L10" i="9"/>
  <c r="L12" i="9"/>
  <c r="K13" i="9"/>
  <c r="AE80" i="6"/>
  <c r="AF80" i="6" s="1"/>
  <c r="J34" i="6"/>
  <c r="I34" i="6"/>
  <c r="I79" i="6"/>
  <c r="K78" i="6"/>
  <c r="I80" i="6"/>
  <c r="J80" i="6" s="1"/>
  <c r="K80" i="6" s="1"/>
  <c r="L80" i="6" s="1"/>
  <c r="M80" i="6" s="1"/>
  <c r="N80" i="6" s="1"/>
  <c r="O80" i="6" s="1"/>
  <c r="P80" i="6" s="1"/>
  <c r="Q80" i="6" s="1"/>
  <c r="R80" i="6" s="1"/>
  <c r="S80" i="6" s="1"/>
  <c r="AF21" i="6"/>
  <c r="AC21" i="6"/>
  <c r="AD21" i="6"/>
  <c r="AF79" i="6"/>
  <c r="AG21" i="6"/>
  <c r="AE81" i="6"/>
  <c r="AF81" i="6" s="1"/>
  <c r="AG64" i="6"/>
  <c r="AG74" i="6" s="1"/>
  <c r="AG62" i="6"/>
  <c r="AG72" i="6" s="1"/>
  <c r="AG63" i="6"/>
  <c r="AG73" i="6" s="1"/>
  <c r="AF96" i="6"/>
  <c r="AH51" i="6"/>
  <c r="AH53" i="6" s="1"/>
  <c r="AH21" i="6" s="1"/>
  <c r="AH85" i="6"/>
  <c r="AF65" i="6"/>
  <c r="AF71" i="6"/>
  <c r="AF75" i="6" s="1"/>
  <c r="AE65" i="6"/>
  <c r="AE71" i="6"/>
  <c r="AD65" i="6"/>
  <c r="AD71" i="6"/>
  <c r="AC65" i="6"/>
  <c r="C140" i="8" s="1"/>
  <c r="AH94" i="6"/>
  <c r="AF91" i="6"/>
  <c r="AF92" i="6" s="1"/>
  <c r="AF98" i="6"/>
  <c r="AG57" i="6"/>
  <c r="AG95" i="6"/>
  <c r="AG96" i="6" s="1"/>
  <c r="AI52" i="6"/>
  <c r="N23" i="6"/>
  <c r="M24" i="6"/>
  <c r="H81" i="6" l="1"/>
  <c r="T74" i="6"/>
  <c r="H75" i="6"/>
  <c r="T65" i="6"/>
  <c r="L75" i="6"/>
  <c r="T71" i="6"/>
  <c r="AG79" i="6"/>
  <c r="L78" i="6"/>
  <c r="J79" i="6"/>
  <c r="T80" i="6"/>
  <c r="AC67" i="6"/>
  <c r="AC23" i="6"/>
  <c r="AF87" i="6"/>
  <c r="AF88" i="6" s="1"/>
  <c r="F140" i="8"/>
  <c r="AG67" i="6"/>
  <c r="AG22" i="6"/>
  <c r="AF22" i="6"/>
  <c r="AF67" i="6"/>
  <c r="AD67" i="6"/>
  <c r="AD22" i="6"/>
  <c r="AD87" i="6"/>
  <c r="AD88" i="6" s="1"/>
  <c r="D140" i="8"/>
  <c r="AE87" i="6"/>
  <c r="AE88" i="6" s="1"/>
  <c r="E140" i="8"/>
  <c r="AH67" i="6"/>
  <c r="AH22" i="6"/>
  <c r="AE67" i="6"/>
  <c r="AE22" i="6"/>
  <c r="AC87" i="6"/>
  <c r="AC88" i="6" s="1"/>
  <c r="AH62" i="6"/>
  <c r="AH72" i="6" s="1"/>
  <c r="AH63" i="6"/>
  <c r="AH73" i="6" s="1"/>
  <c r="AH61" i="6"/>
  <c r="AH71" i="6" s="1"/>
  <c r="AH64" i="6"/>
  <c r="AH74" i="6" s="1"/>
  <c r="AG65" i="6"/>
  <c r="AG81" i="6"/>
  <c r="AG71" i="6"/>
  <c r="AG75" i="6" s="1"/>
  <c r="AI51" i="6"/>
  <c r="AI53" i="6" s="1"/>
  <c r="AI85" i="6"/>
  <c r="AG80" i="6"/>
  <c r="AD75" i="6"/>
  <c r="AC75" i="6"/>
  <c r="AC78" i="6"/>
  <c r="AD78" i="6" s="1"/>
  <c r="AE75" i="6"/>
  <c r="AI94" i="6"/>
  <c r="AF100" i="6"/>
  <c r="AG91" i="6"/>
  <c r="AG92" i="6" s="1"/>
  <c r="AG98" i="6"/>
  <c r="AH95" i="6"/>
  <c r="AH96" i="6" s="1"/>
  <c r="AH57" i="6"/>
  <c r="AJ52" i="6"/>
  <c r="O23" i="6"/>
  <c r="N24" i="6"/>
  <c r="T75" i="6" l="1"/>
  <c r="I81" i="6"/>
  <c r="H82" i="6"/>
  <c r="AE100" i="6"/>
  <c r="AE102" i="6" s="1"/>
  <c r="AD100" i="6"/>
  <c r="AD101" i="6" s="1"/>
  <c r="AF102" i="6"/>
  <c r="K79" i="6"/>
  <c r="M78" i="6"/>
  <c r="AC68" i="6"/>
  <c r="AD23" i="6"/>
  <c r="AG87" i="6"/>
  <c r="AG88" i="6" s="1"/>
  <c r="G140" i="8"/>
  <c r="F141" i="8"/>
  <c r="AF101" i="6"/>
  <c r="AC100" i="6"/>
  <c r="AC102" i="6" s="1"/>
  <c r="AI21" i="6"/>
  <c r="AH80" i="6"/>
  <c r="AI62" i="6"/>
  <c r="AI72" i="6" s="1"/>
  <c r="AI63" i="6"/>
  <c r="AI73" i="6" s="1"/>
  <c r="AI64" i="6"/>
  <c r="AI74" i="6" s="1"/>
  <c r="AI61" i="6"/>
  <c r="AI71" i="6" s="1"/>
  <c r="AH65" i="6"/>
  <c r="AJ51" i="6"/>
  <c r="AJ53" i="6" s="1"/>
  <c r="AJ85" i="6"/>
  <c r="AH81" i="6"/>
  <c r="AH79" i="6"/>
  <c r="AC82" i="6"/>
  <c r="AD82" i="6"/>
  <c r="AH75" i="6"/>
  <c r="AJ94" i="6"/>
  <c r="AH91" i="6"/>
  <c r="AH98" i="6"/>
  <c r="AI57" i="6"/>
  <c r="AI95" i="6"/>
  <c r="AI96" i="6" s="1"/>
  <c r="AK52" i="6"/>
  <c r="P23" i="6"/>
  <c r="O24" i="6"/>
  <c r="E141" i="8" l="1"/>
  <c r="J81" i="6"/>
  <c r="I82" i="6"/>
  <c r="AE101" i="6"/>
  <c r="AD102" i="6"/>
  <c r="D141" i="8"/>
  <c r="AG100" i="6"/>
  <c r="AG101" i="6" s="1"/>
  <c r="N78" i="6"/>
  <c r="L79" i="6"/>
  <c r="AH87" i="6"/>
  <c r="AH88" i="6" s="1"/>
  <c r="H140" i="8"/>
  <c r="AE23" i="6"/>
  <c r="AD68" i="6"/>
  <c r="AD24" i="6"/>
  <c r="AI67" i="6"/>
  <c r="AI22" i="6"/>
  <c r="AC101" i="6"/>
  <c r="C141" i="8"/>
  <c r="AJ21" i="6"/>
  <c r="AI79" i="6"/>
  <c r="AI81" i="6"/>
  <c r="AI75" i="6"/>
  <c r="AJ62" i="6"/>
  <c r="AJ72" i="6" s="1"/>
  <c r="AJ63" i="6"/>
  <c r="AJ73" i="6" s="1"/>
  <c r="AJ64" i="6"/>
  <c r="AJ74" i="6" s="1"/>
  <c r="AJ61" i="6"/>
  <c r="AJ71" i="6" s="1"/>
  <c r="AI65" i="6"/>
  <c r="AK51" i="6"/>
  <c r="AK53" i="6" s="1"/>
  <c r="AK85" i="6"/>
  <c r="AH92" i="6"/>
  <c r="AI80" i="6"/>
  <c r="AE78" i="6"/>
  <c r="AI91" i="6"/>
  <c r="AI92" i="6" s="1"/>
  <c r="AI98" i="6"/>
  <c r="AK94" i="6"/>
  <c r="AJ95" i="6"/>
  <c r="AJ96" i="6" s="1"/>
  <c r="AJ57" i="6"/>
  <c r="AL52" i="6"/>
  <c r="Q23" i="6"/>
  <c r="P24" i="6"/>
  <c r="K81" i="6" l="1"/>
  <c r="J82" i="6"/>
  <c r="AH100" i="6"/>
  <c r="AH101" i="6" s="1"/>
  <c r="G141" i="8"/>
  <c r="AG102" i="6"/>
  <c r="M79" i="6"/>
  <c r="O78" i="6"/>
  <c r="AI87" i="6"/>
  <c r="AI88" i="6" s="1"/>
  <c r="AI100" i="6" s="1"/>
  <c r="I140" i="8"/>
  <c r="AJ22" i="6"/>
  <c r="AJ67" i="6"/>
  <c r="AF23" i="6"/>
  <c r="AE24" i="6"/>
  <c r="AK21" i="6"/>
  <c r="AJ79" i="6"/>
  <c r="AJ65" i="6"/>
  <c r="AK64" i="6"/>
  <c r="AK74" i="6" s="1"/>
  <c r="AK63" i="6"/>
  <c r="AK73" i="6" s="1"/>
  <c r="AK62" i="6"/>
  <c r="AK72" i="6" s="1"/>
  <c r="AK61" i="6"/>
  <c r="AK71" i="6" s="1"/>
  <c r="AJ80" i="6"/>
  <c r="AL51" i="6"/>
  <c r="AL53" i="6" s="1"/>
  <c r="AL85" i="6"/>
  <c r="AJ75" i="6"/>
  <c r="AJ81" i="6"/>
  <c r="AE82" i="6"/>
  <c r="AF78" i="6"/>
  <c r="AF82" i="6" s="1"/>
  <c r="AJ91" i="6"/>
  <c r="AJ92" i="6" s="1"/>
  <c r="AJ98" i="6"/>
  <c r="AK57" i="6"/>
  <c r="AK95" i="6"/>
  <c r="AK96" i="6" s="1"/>
  <c r="AL94" i="6"/>
  <c r="AM52" i="6"/>
  <c r="R23" i="6"/>
  <c r="Q24" i="6"/>
  <c r="AH102" i="6" l="1"/>
  <c r="H141" i="8"/>
  <c r="L81" i="6"/>
  <c r="K82" i="6"/>
  <c r="AI102" i="6"/>
  <c r="P78" i="6"/>
  <c r="N79" i="6"/>
  <c r="I141" i="8"/>
  <c r="AI101" i="6"/>
  <c r="AG23" i="6"/>
  <c r="AF24" i="6"/>
  <c r="AF68" i="6"/>
  <c r="AK67" i="6"/>
  <c r="AK22" i="6"/>
  <c r="AJ87" i="6"/>
  <c r="AJ88" i="6" s="1"/>
  <c r="J140" i="8"/>
  <c r="AL21" i="6"/>
  <c r="AK79" i="6"/>
  <c r="AK81" i="6"/>
  <c r="AK80" i="6"/>
  <c r="AK75" i="6"/>
  <c r="AL64" i="6"/>
  <c r="AL74" i="6" s="1"/>
  <c r="AL62" i="6"/>
  <c r="AL72" i="6" s="1"/>
  <c r="AL63" i="6"/>
  <c r="AL73" i="6" s="1"/>
  <c r="AL61" i="6"/>
  <c r="AL71" i="6" s="1"/>
  <c r="AK65" i="6"/>
  <c r="AM51" i="6"/>
  <c r="AM53" i="6" s="1"/>
  <c r="AM85" i="6"/>
  <c r="AG78" i="6"/>
  <c r="AH78" i="6" s="1"/>
  <c r="AK91" i="6"/>
  <c r="AK92" i="6" s="1"/>
  <c r="AK98" i="6"/>
  <c r="AL95" i="6"/>
  <c r="AL96" i="6" s="1"/>
  <c r="AL57" i="6"/>
  <c r="AM94" i="6"/>
  <c r="AN52" i="6"/>
  <c r="C19" i="7" s="1"/>
  <c r="S23" i="6"/>
  <c r="R24" i="6"/>
  <c r="M81" i="6" l="1"/>
  <c r="L82" i="6"/>
  <c r="AJ100" i="6"/>
  <c r="AJ102" i="6" s="1"/>
  <c r="Q78" i="6"/>
  <c r="O79" i="6"/>
  <c r="AK87" i="6"/>
  <c r="AK88" i="6" s="1"/>
  <c r="K140" i="8"/>
  <c r="AL67" i="6"/>
  <c r="AL22" i="6"/>
  <c r="AH23" i="6"/>
  <c r="AG24" i="6"/>
  <c r="AG68" i="6"/>
  <c r="J141" i="8"/>
  <c r="AJ101" i="6"/>
  <c r="AM21" i="6"/>
  <c r="AL79" i="6"/>
  <c r="AL80" i="6"/>
  <c r="AM62" i="6"/>
  <c r="AM72" i="6" s="1"/>
  <c r="AM63" i="6"/>
  <c r="AM73" i="6" s="1"/>
  <c r="AM61" i="6"/>
  <c r="AM71" i="6" s="1"/>
  <c r="AM64" i="6"/>
  <c r="AM74" i="6" s="1"/>
  <c r="AL65" i="6"/>
  <c r="AN51" i="6"/>
  <c r="AN53" i="6" s="1"/>
  <c r="AO52" i="6"/>
  <c r="AO57" i="6" s="1"/>
  <c r="AN85" i="6"/>
  <c r="AO85" i="6" s="1"/>
  <c r="AG82" i="6"/>
  <c r="AL81" i="6"/>
  <c r="AL75" i="6"/>
  <c r="AI78" i="6"/>
  <c r="AH82" i="6"/>
  <c r="S24" i="6"/>
  <c r="C23" i="6"/>
  <c r="AL91" i="6"/>
  <c r="AL92" i="6" s="1"/>
  <c r="AL98" i="6"/>
  <c r="AM57" i="6"/>
  <c r="AM95" i="6"/>
  <c r="AM96" i="6" s="1"/>
  <c r="AN94" i="6"/>
  <c r="AO94" i="6" s="1"/>
  <c r="N81" i="6" l="1"/>
  <c r="M82" i="6"/>
  <c r="AK100" i="6"/>
  <c r="AK102" i="6" s="1"/>
  <c r="P79" i="6"/>
  <c r="R78" i="6"/>
  <c r="AM79" i="6"/>
  <c r="AM67" i="6"/>
  <c r="AM22" i="6"/>
  <c r="AL87" i="6"/>
  <c r="AL88" i="6" s="1"/>
  <c r="AL100" i="6" s="1"/>
  <c r="L140" i="8"/>
  <c r="AI23" i="6"/>
  <c r="AH68" i="6"/>
  <c r="AH24" i="6"/>
  <c r="AN21" i="6"/>
  <c r="C18" i="7" s="1"/>
  <c r="AM80" i="6"/>
  <c r="AM65" i="6"/>
  <c r="AM75" i="6"/>
  <c r="AN63" i="6"/>
  <c r="AN73" i="6" s="1"/>
  <c r="AN62" i="6"/>
  <c r="AN72" i="6" s="1"/>
  <c r="AN64" i="6"/>
  <c r="AN74" i="6" s="1"/>
  <c r="AN61" i="6"/>
  <c r="AN71" i="6" s="1"/>
  <c r="AM81" i="6"/>
  <c r="AJ78" i="6"/>
  <c r="AI82" i="6"/>
  <c r="AM91" i="6"/>
  <c r="AM92" i="6" s="1"/>
  <c r="AM98" i="6"/>
  <c r="AN95" i="6"/>
  <c r="AN57" i="6"/>
  <c r="O81" i="6" l="1"/>
  <c r="N82" i="6"/>
  <c r="K141" i="8"/>
  <c r="AK101" i="6"/>
  <c r="AL102" i="6"/>
  <c r="S78" i="6"/>
  <c r="Q79" i="6"/>
  <c r="AJ23" i="6"/>
  <c r="AI24" i="6"/>
  <c r="AI68" i="6"/>
  <c r="AL101" i="6"/>
  <c r="L141" i="8"/>
  <c r="AO21" i="6"/>
  <c r="AN22" i="6"/>
  <c r="AN67" i="6"/>
  <c r="AO67" i="6" s="1"/>
  <c r="AM87" i="6"/>
  <c r="AM88" i="6" s="1"/>
  <c r="M140" i="8"/>
  <c r="AO61" i="6"/>
  <c r="AO64" i="6"/>
  <c r="AO63" i="6"/>
  <c r="AO62" i="6"/>
  <c r="AN65" i="6"/>
  <c r="AN96" i="6"/>
  <c r="AO95" i="6"/>
  <c r="AO96" i="6" s="1"/>
  <c r="C12" i="7" s="1"/>
  <c r="AN75" i="6"/>
  <c r="AO71" i="6"/>
  <c r="AN79" i="6"/>
  <c r="AO79" i="6" s="1"/>
  <c r="AO72" i="6"/>
  <c r="AN80" i="6"/>
  <c r="AO80" i="6" s="1"/>
  <c r="AO73" i="6"/>
  <c r="AN81" i="6"/>
  <c r="AO81" i="6" s="1"/>
  <c r="AO74" i="6"/>
  <c r="AK78" i="6"/>
  <c r="AJ82" i="6"/>
  <c r="AN91" i="6"/>
  <c r="AN98" i="6"/>
  <c r="AO98" i="6" s="1"/>
  <c r="C13" i="7" s="1"/>
  <c r="P81" i="6" l="1"/>
  <c r="O82" i="6"/>
  <c r="AM100" i="6"/>
  <c r="M141" i="8" s="1"/>
  <c r="R79" i="6"/>
  <c r="T78" i="6"/>
  <c r="AN87" i="6"/>
  <c r="AN88" i="6" s="1"/>
  <c r="N140" i="8"/>
  <c r="AK23" i="6"/>
  <c r="AJ68" i="6"/>
  <c r="AJ24" i="6"/>
  <c r="AO65" i="6"/>
  <c r="C6" i="7" s="1"/>
  <c r="C21" i="7" s="1"/>
  <c r="AO75" i="6"/>
  <c r="AN92" i="6"/>
  <c r="AO91" i="6"/>
  <c r="AO92" i="6" s="1"/>
  <c r="AL78" i="6"/>
  <c r="AK82" i="6"/>
  <c r="Q81" i="6" l="1"/>
  <c r="P82" i="6"/>
  <c r="AM101" i="6"/>
  <c r="AM102" i="6"/>
  <c r="S79" i="6"/>
  <c r="AN100" i="6"/>
  <c r="N141" i="8" s="1"/>
  <c r="AO87" i="6"/>
  <c r="AO88" i="6" s="1"/>
  <c r="AL23" i="6"/>
  <c r="AK24" i="6"/>
  <c r="AK68" i="6"/>
  <c r="C11" i="7"/>
  <c r="AM78" i="6"/>
  <c r="AL82" i="6"/>
  <c r="R81" i="6" l="1"/>
  <c r="Q82" i="6"/>
  <c r="C10" i="7"/>
  <c r="C14" i="7" s="1"/>
  <c r="AN102" i="6"/>
  <c r="AN101" i="6"/>
  <c r="AO100" i="6"/>
  <c r="AO101" i="6" s="1"/>
  <c r="C16" i="7" s="1"/>
  <c r="T79" i="6"/>
  <c r="AM23" i="6"/>
  <c r="AL68" i="6"/>
  <c r="AL24" i="6"/>
  <c r="AN78" i="6"/>
  <c r="AM82" i="6"/>
  <c r="S81" i="6" l="1"/>
  <c r="R82" i="6"/>
  <c r="AO102" i="6"/>
  <c r="AN23" i="6"/>
  <c r="AM24" i="6"/>
  <c r="AM68" i="6"/>
  <c r="AN82" i="6"/>
  <c r="AO78" i="6"/>
  <c r="T81" i="6" l="1"/>
  <c r="S82" i="6"/>
  <c r="T82" i="6" s="1"/>
  <c r="AO82" i="6"/>
  <c r="C7" i="7" s="1"/>
  <c r="AN24" i="6"/>
  <c r="AN68" i="6"/>
  <c r="AO68" i="6" s="1"/>
  <c r="AO23" i="6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5BFB739-C41B-4094-9345-FEC7B673D2FC}" keepAlive="1" name="ThisWorkbookDataModel" description="Data Model" type="5" refreshedVersion="6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B4661BAB-3E0D-41A3-AA9A-9D06251B9485}" name="WorksheetConnection_Trustpilot Financial Analyst Assignment - Data Original.xlsx!TPData" type="102" refreshedVersion="6" minRefreshableVersion="5">
    <extLst>
      <ext xmlns:x15="http://schemas.microsoft.com/office/spreadsheetml/2010/11/main" uri="{DE250136-89BD-433C-8126-D09CA5730AF9}">
        <x15:connection id="TPData">
          <x15:rangePr sourceName="_xlcn.WorksheetConnection_TrustpilotFinancialAnalystAssignmentDataOriginal.xlsxTPData1"/>
        </x15:connection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48">
    <s v="ThisWorkbookDataModel"/>
    <s v="[TPData].[Client].&amp;[Client 998]"/>
    <s v="[TPData].[Close Month].&amp;[2019-06-01T00:00:00]"/>
    <s v="[TPData].[Client].&amp;[Client 996]"/>
    <s v="[TPData].[Close Month].&amp;[2018-07-01T00:00:00]"/>
    <s v="[TPData].[Client].&amp;[Client 994]"/>
    <s v="[TPData].[Client].&amp;[Client 992]"/>
    <s v="[TPData].[Close Month].&amp;[2019-02-01T00:00:00]"/>
    <s v="[TPData].[Client].&amp;[Client 990]"/>
    <s v="[TPData].[Close Month].&amp;[2019-01-01T00:00:00]"/>
    <s v="[TPData].[Client].&amp;[Client 989]"/>
    <s v="[TPData].[Close Month].&amp;[2019-04-01T00:00:00]"/>
    <s v="[TPData].[Client].&amp;[Client 987]"/>
    <s v="[TPData].[Close Month].&amp;[2019-05-01T00:00:00]"/>
    <s v="[TPData].[Client].[All]"/>
    <s v="[TPData].[Client].&amp;[Client 985]"/>
    <s v="[TPData].[Client].&amp;[Client 98]"/>
    <s v="[TPData].[Client].&amp;[Client 975]"/>
    <s v="[TPData].[Client].&amp;[Client 973]"/>
    <s v="[TPData].[Client].&amp;[Client 970]"/>
    <s v="[TPData].[Client].&amp;[Client 96]"/>
    <s v="[TPData].[Client].&amp;[Client 94]"/>
    <s v="[TPData].[Client].&amp;[Client 92]"/>
    <s v="[TPData].[Client].&amp;[Client 90]"/>
    <s v="[TPData].[Client].&amp;[Client 88]"/>
    <s v="[TPData].[Client].&amp;[Client 86]"/>
    <s v="[TPData].[Client].&amp;[Client 84]"/>
    <s v="[TPData].[Client].&amp;[Client 82]"/>
    <s v="[TPData].[Client].&amp;[Client 80]"/>
    <s v="[TPData].[Client].&amp;[Client 78]"/>
    <s v="[TPData].[Client].&amp;[Client 76]"/>
    <s v="[TPData].[Client].&amp;[Client 74]"/>
    <s v="[TPData].[Client].&amp;[Client 72]"/>
    <s v="[TPData].[Client].&amp;[Client 70]"/>
    <s v="[TPData].[Client].&amp;[Client 68]"/>
    <s v="[TPData].[Client].&amp;[Client 661]"/>
    <s v="[TPData].[Client].&amp;[Client 66]"/>
    <s v="[TPData].[Client].&amp;[Client 658]"/>
    <s v="[TPData].[Client].&amp;[Client 656]"/>
    <s v="[TPData].[Client].&amp;[Client 654]"/>
    <s v="[TPData].[Client].&amp;[Client 652]"/>
    <s v="[TPData].[Client].&amp;[Client 650]"/>
    <s v="[TPData].[Client].&amp;[Client 649]"/>
    <s v="[TPData].[Client].&amp;[Client 647]"/>
    <s v="[TPData].[Client].&amp;[Client 645]"/>
    <s v="[TPData].[Client].&amp;[Client 643]"/>
    <s v="[TPData].[Client].&amp;[Client 641]"/>
    <s v="[TPData].[Client].&amp;[Client 64]"/>
    <s v="[TPData].[Client].&amp;[Client 638]"/>
    <s v="[TPData].[Client].&amp;[Client 63]"/>
    <s v="[TPData].[Client].&amp;[Client 616]"/>
    <s v="[TPData].[Client].&amp;[Client 614]"/>
    <s v="[TPData].[Client].&amp;[Client 612]"/>
    <s v="[TPData].[Client].&amp;[Client 610]"/>
    <s v="[TPData].[Client].&amp;[Client 609]"/>
    <s v="[TPData].[Client].&amp;[Client 607]"/>
    <s v="[TPData].[Client].&amp;[Client 605]"/>
    <s v="[TPData].[Client].&amp;[Client 603]"/>
    <s v="[TPData].[Client].&amp;[Client 601]"/>
    <s v="[TPData].[Client].&amp;[Client 60]"/>
    <s v="[TPData].[Client].&amp;[Client 598]"/>
    <s v="[TPData].[Client].&amp;[Client 596]"/>
    <s v="[TPData].[Client].&amp;[Client 999]"/>
    <s v="[TPData].[Close Month].&amp;[2018-12-01T00:00:00]"/>
    <s v="[TPData].[Client].&amp;[Client 995]"/>
    <s v="[TPData].[Client].&amp;[Client 991]"/>
    <s v="[TPData].[Client].&amp;[Client 988]"/>
    <s v="[TPData].[Client].&amp;[Client 976]"/>
    <s v="[TPData].[Client].&amp;[Client 974]"/>
    <s v="[TPData].[Client].&amp;[Client 95]"/>
    <s v="[TPData].[Close Month].&amp;[2018-08-01T00:00:00]"/>
    <s v="[TPData].[Client].&amp;[Client 93]"/>
    <s v="[TPData].[Client].&amp;[Client 87]"/>
    <s v="[TPData].[Client].&amp;[Client 85]"/>
    <s v="[TPData].[Close Month].&amp;[2019-03-01T00:00:00]"/>
    <s v="[TPData].[Client].&amp;[Client 79]"/>
    <s v="[TPData].[Client].&amp;[Client 77]"/>
    <s v="[TPData].[Client].&amp;[Client 71]"/>
    <s v="[TPData].[Client].&amp;[Client 69]"/>
    <s v="[TPData].[Client].&amp;[Client 659]"/>
    <s v="[TPData].[Client].&amp;[Client 657]"/>
    <s v="[TPData].[Client].&amp;[Client 651]"/>
    <s v="[TPData].[Client].&amp;[Client 65]"/>
    <s v="[TPData].[Client].&amp;[Client 644]"/>
    <s v="[TPData].[Client].&amp;[Client 642]"/>
    <s v="[TPData].[Close Month].&amp;[2018-11-01T00:00:00]"/>
    <s v="[TPData].[Client].&amp;[Client 637]"/>
    <s v="[TPData].[Close Month].&amp;[2018-09-01T00:00:00]"/>
    <s v="[TPData].[Client].&amp;[Client 62]"/>
    <s v="[TPData].[Client].&amp;[Client 611]"/>
    <s v="[TPData].[Client].&amp;[Client 61]"/>
    <s v="[TPData].[Client].&amp;[Client 604]"/>
    <s v="[TPData].[Client].&amp;[Client 602]"/>
    <s v="[TPData].[Close Month].&amp;[2018-10-01T00:00:00]"/>
    <s v="[TPData].[Client].&amp;[Client 597]"/>
    <s v="[TPData].[Client].&amp;[Client 595]"/>
    <s v="[TPData].[Client].&amp;[Client 593]"/>
    <s v="[TPData].[Client].&amp;[Client 591]"/>
    <s v="[TPData].[Client].&amp;[Client 59]"/>
    <s v="[TPData].[Client].&amp;[Client 588]"/>
    <s v="[TPData].[Client].&amp;[Client 586]"/>
    <s v="[TPData].[Client].&amp;[Client 584]"/>
    <s v="[TPData].[Client].&amp;[Client 582]"/>
    <s v="[TPData].[Client].&amp;[Client 580]"/>
    <s v="[TPData].[Client].&amp;[Client 579]"/>
    <s v="[TPData].[Client].&amp;[Client 577]"/>
    <s v="[TPData].[Client].&amp;[Client 575]"/>
    <s v="[TPData].[Client].&amp;[Client 573]"/>
    <s v="[TPData].[Client].&amp;[Client 571]"/>
    <s v="[TPData].[Client].&amp;[Client 57]"/>
    <s v="[TPData].[Client].&amp;[Client 568]"/>
    <s v="[TPData].[Client].&amp;[Client 566]"/>
    <s v="[TPData].[Client].&amp;[Client 564]"/>
    <s v="[TPData].[Client].&amp;[Client 55]"/>
    <s v="[TPData].[Client].&amp;[Client 532]"/>
    <s v="[TPData].[Client].&amp;[Client 530]"/>
    <s v="[TPData].[Client].&amp;[Client 529]"/>
    <s v="[TPData].[Client].&amp;[Client 527]"/>
    <s v="[TPData].[Client].&amp;[Client 525]"/>
    <s v="[TPData].[Client].&amp;[Client 523]"/>
    <s v="[TPData].[Client].&amp;[Client 521]"/>
    <s v="[TPData].[Client].&amp;[Client 52]"/>
    <s v="[TPData].[Client].&amp;[Client 518]"/>
    <s v="[TPData].[Client].&amp;[Client 516]"/>
    <s v="[TPData].[Client].&amp;[Client 514]"/>
    <s v="[TPData].[Client].&amp;[Client 512]"/>
    <s v="[TPData].[Client].&amp;[Client 510]"/>
    <s v="[TPData].[Client].&amp;[Client 509]"/>
    <s v="[TPData].[Client].&amp;[Client 507]"/>
    <s v="[TPData].[Client].&amp;[Client 505]"/>
    <s v="[TPData].[Client].&amp;[Client 503]"/>
    <s v="[TPData].[Client].&amp;[Client 501]"/>
    <s v="[TPData].[Client].&amp;[Client 50]"/>
    <s v="[TPData].[Client].&amp;[Client 498]"/>
    <s v="[TPData].[Client].&amp;[Client 496]"/>
    <s v="[TPData].[Client].&amp;[Client 494]"/>
    <s v="[TPData].[Client].&amp;[Client 492]"/>
    <s v="[TPData].[Client].&amp;[Client 490]"/>
    <s v="[TPData].[Client].&amp;[Client 489]"/>
    <s v="[TPData].[Client].&amp;[Client 487]"/>
    <s v="[TPData].[Client].&amp;[Client 485]"/>
    <s v="[TPData].[Client].&amp;[Client 483]"/>
    <s v="[TPData].[Client].&amp;[Client 481]"/>
    <s v="[TPData].[Client].&amp;[Client 47]"/>
    <s v="[TPData].[Client].&amp;[Client 466]"/>
    <s v="[TPData].[Client].&amp;[Client 464]"/>
    <s v="[TPData].[Client].&amp;[Client 462]"/>
    <s v="[TPData].[Client].&amp;[Client 460]"/>
    <s v="[TPData].[Client].&amp;[Client 459]"/>
    <s v="[TPData].[Client].&amp;[Client 457]"/>
    <s v="[TPData].[Client].&amp;[Client 455]"/>
    <s v="[TPData].[Client].&amp;[Client 453]"/>
    <s v="[TPData].[Client].&amp;[Client 451]"/>
    <s v="[TPData].[Client].&amp;[Client 45]"/>
    <s v="[TPData].[Client].&amp;[Client 448]"/>
    <s v="[TPData].[Client].&amp;[Client 446]"/>
    <s v="[TPData].[Client].&amp;[Client 444]"/>
    <s v="[TPData].[Client].&amp;[Client 442]"/>
    <s v="[TPData].[Client].&amp;[Client 440]"/>
    <s v="[TPData].[Client].&amp;[Client 439]"/>
    <s v="[TPData].[Client].&amp;[Client 437]"/>
    <s v="[TPData].[Client].&amp;[Client 435]"/>
    <s v="[TPData].[Client].&amp;[Client 433]"/>
    <s v="[TPData].[Client].&amp;[Client 431]"/>
    <s v="[TPData].[Client].&amp;[Client 429]"/>
    <s v="[TPData].[Client].&amp;[Client 427]"/>
    <s v="[TPData].[Client].&amp;[Client 425]"/>
    <s v="[TPData].[Client].&amp;[Client 423]"/>
    <s v="[TPData].[Client].&amp;[Client 421]"/>
    <s v="[TPData].[Client].&amp;[Client 419]"/>
    <s v="[TPData].[Client].&amp;[Client 416]"/>
    <s v="[TPData].[Client].&amp;[Client 414]"/>
    <s v="[TPData].[Client].&amp;[Client 412]"/>
    <s v="[TPData].[Client].&amp;[Client 410]"/>
    <s v="[TPData].[Client].&amp;[Client 408]"/>
    <s v="[TPData].[Client].&amp;[Client 406]"/>
    <s v="[TPData].[Client].&amp;[Client 404]"/>
    <s v="[TPData].[Client].&amp;[Client 402]"/>
    <s v="[TPData].[Client].&amp;[Client 400]"/>
    <s v="[TPData].[Client].&amp;[Client 398]"/>
    <s v="[TPData].[Client].&amp;[Client 396]"/>
    <s v="[TPData].[Client].&amp;[Client 394]"/>
    <s v="[TPData].[Client].&amp;[Client 392]"/>
    <s v="[TPData].[Client].&amp;[Client 390]"/>
    <s v="[TPData].[Client].&amp;[Client 388]"/>
    <s v="[TPData].[Client].&amp;[Client 386]"/>
    <s v="[TPData].[Client].&amp;[Client 384]"/>
    <s v="[TPData].[Client].&amp;[Client 382]"/>
    <s v="[TPData].[Client].&amp;[Client 338]"/>
    <s v="[TPData].[Client].&amp;[Client 336]"/>
    <s v="[TPData].[Client].&amp;[Client 334]"/>
    <s v="[TPData].[Client].&amp;[Client 332]"/>
    <s v="[TPData].[Client].&amp;[Client 330]"/>
    <s v="[TPData].[Client].&amp;[Client 328]"/>
    <s v="[TPData].[Client].&amp;[Client 326]"/>
    <s v="[TPData].[Client].&amp;[Client 324]"/>
    <s v="[TPData].[Client].&amp;[Client 322]"/>
    <s v="[TPData].[Client].&amp;[Client 320]"/>
    <s v="[TPData].[Client].&amp;[Client 318]"/>
    <s v="[TPData].[Client].&amp;[Client 316]"/>
    <s v="[TPData].[Client].&amp;[Client 314]"/>
    <s v="[TPData].[Client].&amp;[Client 312]"/>
    <s v="[TPData].[Client].&amp;[Client 310]"/>
    <s v="[TPData].[Client].&amp;[Client 308]"/>
    <s v="[TPData].[Client].&amp;[Client 306]"/>
    <s v="[TPData].[Client].&amp;[Client 304]"/>
    <s v="[TPData].[Client].&amp;[Client 302]"/>
    <s v="[TPData].[Client].&amp;[Client 300]"/>
    <s v="[TPData].[Client].&amp;[Client 298]"/>
    <s v="[TPData].[Client].&amp;[Client 296]"/>
    <s v="[TPData].[Client].&amp;[Client 294]"/>
    <s v="[TPData].[Client].&amp;[Client 292]"/>
    <s v="[TPData].[Client].&amp;[Client 290]"/>
    <s v="[TPData].[Client].&amp;[Client 288]"/>
    <s v="[TPData].[Client].&amp;[Client 286]"/>
    <s v="[TPData].[Client].&amp;[Client 284]"/>
    <s v="[TPData].[Client].&amp;[Client 282]"/>
    <s v="[TPData].[Client].&amp;[Client 280]"/>
    <s v="[TPData].[Client].&amp;[Client 278]"/>
    <s v="[TPData].[Client].&amp;[Client 276]"/>
    <s v="[TPData].[Client].&amp;[Client 274]"/>
    <s v="[TPData].[Client].&amp;[Client 272]"/>
    <s v="[TPData].[Client].&amp;[Client 270]"/>
    <s v="[TPData].[Client].&amp;[Client 268]"/>
    <s v="[TPData].[Client].&amp;[Client 266]"/>
    <s v="[TPData].[Client].&amp;[Client 264]"/>
    <s v="[TPData].[Client].&amp;[Client 262]"/>
    <s v="[TPData].[Client].&amp;[Client 260]"/>
    <s v="[TPData].[Client].&amp;[Client 258]"/>
    <s v="[TPData].[Client].&amp;[Client 256]"/>
    <s v="[TPData].[Client].&amp;[Client 254]"/>
    <s v="[TPData].[Client].&amp;[Client 252]"/>
    <s v="[TPData].[Client].&amp;[Client 250]"/>
    <s v="[TPData].[Client].&amp;[Client 248]"/>
    <s v="[TPData].[Client].&amp;[Client 246]"/>
    <s v="[TPData].[Client].&amp;[Client 244]"/>
    <s v="[TPData].[Client].&amp;[Client 242]"/>
    <s v="[TPData].[Client].&amp;[Client 240]"/>
    <s v="[TPData].[Client].&amp;[Client 238]"/>
    <s v="[TPData].[Client].&amp;[Client 236]"/>
    <s v="[TPData].[Client].&amp;[Client 234]"/>
    <s v="[TPData].[Client].&amp;[Client 232]"/>
    <s v="[TPData].[Client].&amp;[Client 230]"/>
    <s v="[TPData].[Client].&amp;[Client 228]"/>
    <s v="[TPData].[Client].&amp;[Client 226]"/>
    <s v="[TPData].[Client].&amp;[Client 224]"/>
    <s v="[TPData].[Client].&amp;[Client 222]"/>
    <s v="[TPData].[Client].&amp;[Client 220]"/>
    <s v="[TPData].[Client].&amp;[Client 218]"/>
    <s v="[TPData].[Client].&amp;[Client 216]"/>
    <s v="[TPData].[Client].&amp;[Client 214]"/>
    <s v="[TPData].[Client].&amp;[Client 212]"/>
    <s v="[TPData].[Client].&amp;[Client 210]"/>
    <s v="[TPData].[Client].&amp;[Client 208]"/>
    <s v="[TPData].[Client].&amp;[Client 206]"/>
    <s v="[TPData].[Client].&amp;[Client 204]"/>
    <s v="[TPData].[Client].&amp;[Client 202]"/>
    <s v="[TPData].[Client].&amp;[Client 200]"/>
    <s v="[TPData].[Client].&amp;[Client 198]"/>
    <s v="[TPData].[Client].&amp;[Client 196]"/>
    <s v="[TPData].[Client].&amp;[Client 194]"/>
    <s v="[TPData].[Client].&amp;[Client 192]"/>
    <s v="[TPData].[Client].&amp;[Client 190]"/>
    <s v="[TPData].[Client].&amp;[Client 181]"/>
    <s v="[TPData].[Client].&amp;[Client 179]"/>
    <s v="[TPData].[Client].&amp;[Client 177]"/>
    <s v="[TPData].[Client].&amp;[Client 175]"/>
    <s v="[TPData].[Client].&amp;[Client 173]"/>
    <s v="[TPData].[Client].&amp;[Client 171]"/>
    <s v="[TPData].[Client].&amp;[Client 169]"/>
    <s v="[TPData].[Client].&amp;[Client 167]"/>
    <s v="[TPData].[Client].&amp;[Client 165]"/>
    <s v="[TPData].[Client].&amp;[Client 163]"/>
    <s v="[TPData].[Client].&amp;[Client 161]"/>
    <s v="[TPData].[Client].&amp;[Client 159]"/>
    <s v="[TPData].[Client].&amp;[Client 993]"/>
    <s v="[TPData].[Client].&amp;[Client 99]"/>
    <s v="[TPData].[Client].&amp;[Client 984]"/>
    <s v="[TPData].[Client].&amp;[Client 972]"/>
    <s v="[TPData].[Client].&amp;[Client 91]"/>
    <s v="[TPData].[Client].&amp;[Client 81]"/>
    <s v="[TPData].[Client].&amp;[Client 73]"/>
    <s v="[TPData].[Client].&amp;[Client 67]"/>
    <s v="[TPData].[Client].&amp;[Client 655]"/>
    <s v="[TPData].[Client].&amp;[Client 646]"/>
    <s v="[TPData].[Client].&amp;[Client 639]"/>
    <s v="[TPData].[Client].&amp;[Client 615]"/>
    <s v="[TPData].[Client].&amp;[Client 608]"/>
    <s v="[TPData].[Client].&amp;[Client 599]"/>
    <s v="[TPData].[Client].&amp;[Client 592]"/>
    <s v="[TPData].[Client].&amp;[Client 590]"/>
    <s v="[TPData].[Client].&amp;[Client 585]"/>
    <s v="[TPData].[Client].&amp;[Client 583]"/>
    <s v="[TPData].[Client].&amp;[Client 578]"/>
    <s v="[TPData].[Client].&amp;[Client 576]"/>
    <s v="[TPData].[Client].&amp;[Client 570]"/>
    <s v="[TPData].[Client].&amp;[Client 569]"/>
    <s v="[TPData].[Client].&amp;[Client 56]"/>
    <s v="[TPData].[Client].&amp;[Client 54]"/>
    <s v="[TPData].[Client].&amp;[Client 528]"/>
    <s v="[TPData].[Client].&amp;[Client 526]"/>
    <s v="[TPData].[Client].&amp;[Client 520]"/>
    <s v="[TPData].[Client].&amp;[Client 519]"/>
    <s v="[TPData].[Client].&amp;[Client 513]"/>
    <s v="[TPData].[Client].&amp;[Client 511]"/>
    <s v="[TPData].[Client].&amp;[Client 506]"/>
    <s v="[TPData].[Client].&amp;[Client 504]"/>
    <s v="[TPData].[Client].&amp;[Client 499]"/>
    <s v="[TPData].[Client].&amp;[Client 497]"/>
    <s v="[TPData].[Client].&amp;[Client 491]"/>
    <s v="[TPData].[Client].&amp;[Client 49]"/>
    <s v="[TPData].[Client].&amp;[Client 484]"/>
    <s v="[TPData].[Client].&amp;[Client 482]"/>
    <s v="[TPData].[Client].&amp;[Client 465]"/>
    <s v="[TPData].[Client].&amp;[Client 463]"/>
    <s v="[TPData].[Client].&amp;[Client 458]"/>
    <s v="[TPData].[Client].&amp;[Client 456]"/>
    <s v="[TPData].[Client].&amp;[Client 450]"/>
    <s v="[TPData].[Client].&amp;[Client 449]"/>
    <s v="[TPData].[Client].&amp;[Client 443]"/>
    <s v="[TPData].[Client].&amp;[Client 441]"/>
    <s v="[TPData].[Client].&amp;[Client 436]"/>
    <s v="[TPData].[Client].&amp;[Client 434]"/>
    <s v="[TPData].[Client].&amp;[Client 428]"/>
    <s v="[TPData].[Client].&amp;[Client 426]"/>
    <s v="[TPData].[Client].&amp;[Client 420]"/>
    <s v="[TPData].[Client].&amp;[Client 418]"/>
    <s v="[TPData].[Client].&amp;[Client 411]"/>
    <s v="[TPData].[Client].&amp;[Client 409]"/>
    <s v="[TPData].[Client].&amp;[Client 403]"/>
    <s v="[TPData].[Client].&amp;[Client 401]"/>
    <s v="[TPData].[Client].&amp;[Client 395]"/>
    <s v="[TPData].[Client].&amp;[Client 393]"/>
    <s v="[TPData].[Client].&amp;[Client 387]"/>
    <s v="[TPData].[Client].&amp;[Client 385]"/>
    <s v="[TPData].[Client].&amp;[Client 337]"/>
    <s v="[TPData].[Client].&amp;[Client 335]"/>
    <s v="[TPData].[Client].&amp;[Client 329]"/>
    <s v="[TPData].[Client].&amp;[Client 327]"/>
    <s v="[TPData].[Client].&amp;[Client 321]"/>
    <s v="[TPData].[Client].&amp;[Client 319]"/>
    <s v="[TPData].[Client].&amp;[Client 313]"/>
    <s v="[TPData].[Client].&amp;[Client 311]"/>
    <s v="[TPData].[Client].&amp;[Client 305]"/>
    <s v="[TPData].[Client].&amp;[Client 303]"/>
    <s v="[TPData].[Client].&amp;[Client 297]"/>
    <s v="[TPData].[Client].&amp;[Client 295]"/>
    <s v="[TPData].[Client].&amp;[Client 289]"/>
    <s v="[TPData].[Client].&amp;[Client 287]"/>
    <s v="[TPData].[Client].&amp;[Client 281]"/>
    <s v="[TPData].[Client].&amp;[Client 279]"/>
    <s v="[TPData].[Client].&amp;[Client 273]"/>
    <s v="[TPData].[Client].&amp;[Client 271]"/>
    <s v="[TPData].[Client].&amp;[Client 265]"/>
    <s v="[TPData].[Client].&amp;[Client 263]"/>
    <s v="[TPData].[Client].&amp;[Client 257]"/>
    <s v="[TPData].[Client].&amp;[Client 255]"/>
    <s v="[TPData].[Client].&amp;[Client 249]"/>
    <s v="[TPData].[Client].&amp;[Client 247]"/>
    <s v="[TPData].[Client].&amp;[Client 241]"/>
    <s v="[TPData].[Client].&amp;[Client 239]"/>
    <s v="[TPData].[Client].&amp;[Client 233]"/>
    <s v="[TPData].[Client].&amp;[Client 231]"/>
    <s v="[TPData].[Client].&amp;[Client 225]"/>
    <s v="[TPData].[Client].&amp;[Client 223]"/>
    <s v="[TPData].[Client].&amp;[Client 217]"/>
    <s v="[TPData].[Client].&amp;[Client 215]"/>
    <s v="[TPData].[Client].&amp;[Client 209]"/>
    <s v="[TPData].[Client].&amp;[Client 207]"/>
    <s v="[TPData].[Client].&amp;[Client 201]"/>
    <s v="[TPData].[Client].&amp;[Client 199]"/>
    <s v="[TPData].[Client].&amp;[Client 193]"/>
    <s v="[TPData].[Client].&amp;[Client 191]"/>
    <s v="[TPData].[Client].&amp;[Client 178]"/>
    <s v="[TPData].[Client].&amp;[Client 176]"/>
    <s v="[TPData].[Client].&amp;[Client 170]"/>
    <s v="[TPData].[Client].&amp;[Client 168]"/>
    <s v="[TPData].[Client].&amp;[Client 162]"/>
    <s v="[TPData].[Client].&amp;[Client 160]"/>
    <s v="[TPData].[Client].&amp;[Client 157]"/>
    <s v="[TPData].[Client].&amp;[Client 155]"/>
    <s v="[TPData].[Client].&amp;[Client 153]"/>
    <s v="[TPData].[Client].&amp;[Client 151]"/>
    <s v="[TPData].[Client].&amp;[Client 149]"/>
    <s v="[TPData].[Client].&amp;[Client 147]"/>
    <s v="[TPData].[Client].&amp;[Client 145]"/>
    <s v="[TPData].[Client].&amp;[Client 143]"/>
    <s v="[TPData].[Client].&amp;[Client 141]"/>
    <s v="[TPData].[Client].&amp;[Client 139]"/>
    <s v="[TPData].[Client].&amp;[Client 137]"/>
    <s v="[TPData].[Client].&amp;[Client 135]"/>
    <s v="[TPData].[Client].&amp;[Client 133]"/>
    <s v="[TPData].[Client].&amp;[Client 131]"/>
    <s v="[TPData].[Client].&amp;[Client 129]"/>
    <s v="[TPData].[Client].&amp;[Client 127]"/>
    <s v="[TPData].[Client].&amp;[Client 125]"/>
    <s v="[TPData].[Client].&amp;[Client 123]"/>
    <s v="[TPData].[Client].&amp;[Client 121]"/>
    <s v="[TPData].[Client].&amp;[Client 119]"/>
    <s v="[TPData].[Client].&amp;[Client 117]"/>
    <s v="[TPData].[Client].&amp;[Client 115]"/>
    <s v="[TPData].[Client].&amp;[Client 113]"/>
    <s v="[TPData].[Client].&amp;[Client 111]"/>
    <s v="[TPData].[Client].&amp;[Client 109]"/>
    <s v="[TPData].[Client].&amp;[Client 107]"/>
    <s v="[TPData].[Client].&amp;[Client 105]"/>
    <s v="[TPData].[Client].&amp;[Client 103]"/>
    <s v="[TPData].[Client].&amp;[Client 101]"/>
    <s v="[Measures].[Sum of Annual Contract Value (ACV)]"/>
    <s v="[TPData].[Client].&amp;[Client 997]"/>
    <s v="[TPData].[Client].&amp;[Client 97]"/>
    <s v="[TPData].[Client].&amp;[Client 83]"/>
    <s v="[TPData].[Client].&amp;[Client 660]"/>
    <s v="[TPData].[Client].&amp;[Client 648]"/>
    <s v="[TPData].[Client].&amp;[Client 613]"/>
    <s v="[TPData].[Client].&amp;[Client 600]"/>
    <s v="[TPData].[Client].&amp;[Client 594]"/>
    <s v="[TPData].[Client].&amp;[Client 587]"/>
    <s v="[TPData].[Client].&amp;[Client 58]"/>
    <s v="[TPData].[Client].&amp;[Client 572]"/>
    <s v="[TPData].[Client].&amp;[Client 565]"/>
    <s v="[TPData].[Client].&amp;[Client 53]"/>
    <s v="[TPData].[Client].&amp;[Client 522]"/>
    <s v="[TPData].[Client].&amp;[Client 515]"/>
    <s v="[TPData].[Client].&amp;[Client 508]"/>
    <s v="[TPData].[Client].&amp;[Client 500]"/>
    <s v="[TPData].[Client].&amp;[Client 493]"/>
    <s v="[TPData].[Client].&amp;[Client 486]"/>
    <s v="[TPData].[Client].&amp;[Client 467]"/>
    <s v="[TPData].[Client].&amp;[Client 46]"/>
    <s v="[TPData].[Client].&amp;[Client 452]"/>
    <s v="[TPData].[Client].&amp;[Client 445]"/>
    <s v="[TPData].[Client].&amp;[Client 438]"/>
    <s v="[TPData].[Client].&amp;[Client 430]"/>
    <s v="[TPData].[Client].&amp;[Client 422]"/>
    <s v="[TPData].[Client].&amp;[Client 413]"/>
    <s v="[TPData].[Client].&amp;[Client 405]"/>
    <s v="[TPData].[Client].&amp;[Client 397]"/>
    <s v="[TPData].[Client].&amp;[Client 389]"/>
    <s v="[TPData].[Client].&amp;[Client 381]"/>
    <s v="[TPData].[Client].&amp;[Client 331]"/>
    <s v="[TPData].[Client].&amp;[Client 323]"/>
    <s v="[TPData].[Client].&amp;[Client 315]"/>
    <s v="[TPData].[Client].&amp;[Client 307]"/>
    <s v="[TPData].[Client].&amp;[Client 299]"/>
    <s v="[TPData].[Client].&amp;[Client 291]"/>
    <s v="[TPData].[Client].&amp;[Client 283]"/>
    <s v="[TPData].[Client].&amp;[Client 275]"/>
    <s v="[TPData].[Client].&amp;[Client 267]"/>
    <s v="[TPData].[Client].&amp;[Client 259]"/>
    <s v="[TPData].[Client].&amp;[Client 251]"/>
    <s v="[TPData].[Client].&amp;[Client 243]"/>
    <s v="[TPData].[Client].&amp;[Client 235]"/>
    <s v="[TPData].[Client].&amp;[Client 227]"/>
    <s v="[TPData].[Client].&amp;[Client 219]"/>
    <s v="[TPData].[Client].&amp;[Client 211]"/>
    <s v="[TPData].[Client].&amp;[Client 203]"/>
    <s v="[TPData].[Client].&amp;[Client 195]"/>
    <s v="[TPData].[Client].&amp;[Client 180]"/>
    <s v="[TPData].[Client].&amp;[Client 172]"/>
    <s v="[TPData].[Client].&amp;[Client 164]"/>
    <s v="[TPData].[Client].&amp;[Client 986]"/>
    <s v="[TPData].[Client].&amp;[Client 89]"/>
    <s v="[TPData].[Client].&amp;[Client 75]"/>
    <s v="[TPData].[Client].&amp;[Client 653]"/>
    <s v="[TPData].[Client].&amp;[Client 640]"/>
    <s v="[TPData].[Client].&amp;[Client 606]"/>
    <s v="[TPData].[Client].&amp;[Client 589]"/>
    <s v="[TPData].[Client].&amp;[Client 581]"/>
    <s v="[TPData].[Client].&amp;[Client 574]"/>
    <s v="[TPData].[Client].&amp;[Client 567]"/>
    <s v="[TPData].[Client].&amp;[Client 524]"/>
    <s v="[TPData].[Client].&amp;[Client 51]"/>
    <s v="[TPData].[Client].&amp;[Client 495]"/>
    <s v="[TPData].[Client].&amp;[Client 48]"/>
    <s v="[TPData].[Client].&amp;[Client 454]"/>
    <s v="[TPData].[Client].&amp;[Client 44]"/>
    <s v="[TPData].[Client].&amp;[Client 424]"/>
    <s v="[TPData].[Client].&amp;[Client 407]"/>
    <s v="[TPData].[Client].&amp;[Client 391]"/>
    <s v="[TPData].[Client].&amp;[Client 333]"/>
    <s v="[TPData].[Client].&amp;[Client 317]"/>
    <s v="[TPData].[Client].&amp;[Client 301]"/>
    <s v="[TPData].[Client].&amp;[Client 285]"/>
    <s v="[TPData].[Client].&amp;[Client 269]"/>
    <s v="[TPData].[Client].&amp;[Client 253]"/>
    <s v="[TPData].[Client].&amp;[Client 237]"/>
    <s v="[TPData].[Client].&amp;[Client 221]"/>
    <s v="[TPData].[Client].&amp;[Client 205]"/>
    <s v="[TPData].[Client].&amp;[Client 182]"/>
    <s v="[TPData].[Client].&amp;[Client 166]"/>
    <s v="[TPData].[Client].&amp;[Client 156]"/>
    <s v="[TPData].[Client].&amp;[Client 152]"/>
    <s v="[TPData].[Client].&amp;[Client 148]"/>
    <s v="[TPData].[Client].&amp;[Client 144]"/>
    <s v="[TPData].[Client].&amp;[Client 140]"/>
    <s v="[TPData].[Client].&amp;[Client 136]"/>
    <s v="[TPData].[Client].&amp;[Client 132]"/>
    <s v="[TPData].[Client].&amp;[Client 128]"/>
    <s v="[TPData].[Client].&amp;[Client 124]"/>
    <s v="[TPData].[Client].&amp;[Client 120]"/>
    <s v="[TPData].[Client].&amp;[Client 116]"/>
    <s v="[TPData].[Client].&amp;[Client 112]"/>
    <s v="[TPData].[Client].&amp;[Client 108]"/>
    <s v="[TPData].[Client].&amp;[Client 104]"/>
    <s v="[TPData].[Client].&amp;[Client 100]"/>
    <s v="[TPData].[Client].&amp;[Client 531]"/>
    <s v="[TPData].[Client].&amp;[Client 517]"/>
    <s v="[TPData].[Client].&amp;[Client 502]"/>
    <s v="[TPData].[Client].&amp;[Client 488]"/>
    <s v="[TPData].[Client].&amp;[Client 461]"/>
    <s v="[TPData].[Client].&amp;[Client 447]"/>
    <s v="[TPData].[Client].&amp;[Client 432]"/>
    <s v="[TPData].[Client].&amp;[Client 415]"/>
    <s v="[TPData].[Client].&amp;[Client 399]"/>
    <s v="[TPData].[Client].&amp;[Client 383]"/>
    <s v="[TPData].[Client].&amp;[Client 325]"/>
    <s v="[TPData].[Client].&amp;[Client 309]"/>
    <s v="[TPData].[Client].&amp;[Client 293]"/>
    <s v="[TPData].[Client].&amp;[Client 277]"/>
    <s v="[TPData].[Client].&amp;[Client 261]"/>
    <s v="[TPData].[Client].&amp;[Client 245]"/>
    <s v="[TPData].[Client].&amp;[Client 229]"/>
    <s v="[TPData].[Client].&amp;[Client 213]"/>
    <s v="[TPData].[Client].&amp;[Client 197]"/>
    <s v="[TPData].[Client].&amp;[Client 174]"/>
    <s v="[TPData].[Client].&amp;[Client 158]"/>
    <s v="[TPData].[Client].&amp;[Client 154]"/>
    <s v="[TPData].[Client].&amp;[Client 150]"/>
    <s v="[TPData].[Client].&amp;[Client 146]"/>
    <s v="[TPData].[Client].&amp;[Client 142]"/>
    <s v="[TPData].[Client].&amp;[Client 138]"/>
    <s v="[TPData].[Client].&amp;[Client 134]"/>
    <s v="[TPData].[Client].&amp;[Client 130]"/>
    <s v="[TPData].[Client].&amp;[Client 126]"/>
    <s v="[TPData].[Client].&amp;[Client 122]"/>
    <s v="[TPData].[Client].&amp;[Client 118]"/>
    <s v="[TPData].[Client].&amp;[Client 114]"/>
    <s v="[TPData].[Client].&amp;[Client 110]"/>
    <s v="[TPData].[Client].&amp;[Client 106]"/>
    <s v="[TPData].[Client].&amp;[Client 102]"/>
    <s v="[TPData].[Deal Size].&amp;[Medium (&lt;10k)]"/>
    <s v="[TPData].[Deal Size].&amp;[Small (&lt;5k)]"/>
    <s v="[TPData].[Deal Size].&amp;[Mega (20k+)]"/>
    <s v="[TPData].[Deal Size].[All]"/>
    <s v="[TPData].[Deal Size].&amp;[Large (&lt;20k)]"/>
    <s v="[TPData].[Close Month].[All]"/>
    <s v="[Measures].[Count of Client]"/>
  </metadataStrings>
  <mdxMetadata count="1730">
    <mdx n="0" f="m">
      <t c="2">
        <n x="1"/>
        <n x="2"/>
      </t>
    </mdx>
    <mdx n="0" f="m">
      <t c="2">
        <n x="3"/>
        <n x="4"/>
      </t>
    </mdx>
    <mdx n="0" f="m">
      <t c="2">
        <n x="5"/>
        <n x="4"/>
      </t>
    </mdx>
    <mdx n="0" f="m">
      <t c="2">
        <n x="6"/>
        <n x="7"/>
      </t>
    </mdx>
    <mdx n="0" f="m">
      <t c="2">
        <n x="8"/>
        <n x="9"/>
      </t>
    </mdx>
    <mdx n="0" f="m">
      <t c="2">
        <n x="10"/>
        <n x="11"/>
      </t>
    </mdx>
    <mdx n="0" f="m">
      <t c="2">
        <n x="12"/>
        <n x="13"/>
      </t>
    </mdx>
    <mdx n="0" f="m">
      <t c="1">
        <n x="14"/>
      </t>
    </mdx>
    <mdx n="0" f="m">
      <t c="1">
        <n x="1"/>
      </t>
    </mdx>
    <mdx n="0" f="m">
      <t c="1">
        <n x="3"/>
      </t>
    </mdx>
    <mdx n="0" f="m">
      <t c="1">
        <n x="5"/>
      </t>
    </mdx>
    <mdx n="0" f="m">
      <t c="1">
        <n x="6"/>
      </t>
    </mdx>
    <mdx n="0" f="m">
      <t c="1">
        <n x="8"/>
      </t>
    </mdx>
    <mdx n="0" f="m">
      <t c="1">
        <n x="10"/>
      </t>
    </mdx>
    <mdx n="0" f="m">
      <t c="1">
        <n x="12"/>
      </t>
    </mdx>
    <mdx n="0" f="m">
      <t c="1">
        <n x="15"/>
      </t>
    </mdx>
    <mdx n="0" f="m">
      <t c="1">
        <n x="16"/>
      </t>
    </mdx>
    <mdx n="0" f="m">
      <t c="1">
        <n x="17"/>
      </t>
    </mdx>
    <mdx n="0" f="m">
      <t c="1">
        <n x="18"/>
      </t>
    </mdx>
    <mdx n="0" f="m">
      <t c="1">
        <n x="19"/>
      </t>
    </mdx>
    <mdx n="0" f="m">
      <t c="1">
        <n x="20"/>
      </t>
    </mdx>
    <mdx n="0" f="m">
      <t c="1">
        <n x="21"/>
      </t>
    </mdx>
    <mdx n="0" f="m">
      <t c="1">
        <n x="22"/>
      </t>
    </mdx>
    <mdx n="0" f="m">
      <t c="1">
        <n x="23"/>
      </t>
    </mdx>
    <mdx n="0" f="m">
      <t c="1">
        <n x="24"/>
      </t>
    </mdx>
    <mdx n="0" f="m">
      <t c="1">
        <n x="25"/>
      </t>
    </mdx>
    <mdx n="0" f="m">
      <t c="1">
        <n x="26"/>
      </t>
    </mdx>
    <mdx n="0" f="m">
      <t c="1">
        <n x="27"/>
      </t>
    </mdx>
    <mdx n="0" f="m">
      <t c="1">
        <n x="28"/>
      </t>
    </mdx>
    <mdx n="0" f="m">
      <t c="1">
        <n x="29"/>
      </t>
    </mdx>
    <mdx n="0" f="m">
      <t c="1">
        <n x="30"/>
      </t>
    </mdx>
    <mdx n="0" f="m">
      <t c="1">
        <n x="31"/>
      </t>
    </mdx>
    <mdx n="0" f="m">
      <t c="1">
        <n x="32"/>
      </t>
    </mdx>
    <mdx n="0" f="m">
      <t c="1">
        <n x="33"/>
      </t>
    </mdx>
    <mdx n="0" f="m">
      <t c="1">
        <n x="34"/>
      </t>
    </mdx>
    <mdx n="0" f="m">
      <t c="1">
        <n x="35"/>
      </t>
    </mdx>
    <mdx n="0" f="m">
      <t c="1">
        <n x="36"/>
      </t>
    </mdx>
    <mdx n="0" f="m">
      <t c="1">
        <n x="37"/>
      </t>
    </mdx>
    <mdx n="0" f="m">
      <t c="1">
        <n x="38"/>
      </t>
    </mdx>
    <mdx n="0" f="m">
      <t c="1">
        <n x="39"/>
      </t>
    </mdx>
    <mdx n="0" f="m">
      <t c="1">
        <n x="40"/>
      </t>
    </mdx>
    <mdx n="0" f="m">
      <t c="1">
        <n x="41"/>
      </t>
    </mdx>
    <mdx n="0" f="m">
      <t c="1">
        <n x="42"/>
      </t>
    </mdx>
    <mdx n="0" f="m">
      <t c="1">
        <n x="43"/>
      </t>
    </mdx>
    <mdx n="0" f="m">
      <t c="1">
        <n x="44"/>
      </t>
    </mdx>
    <mdx n="0" f="m">
      <t c="1">
        <n x="45"/>
      </t>
    </mdx>
    <mdx n="0" f="m">
      <t c="1">
        <n x="46"/>
      </t>
    </mdx>
    <mdx n="0" f="m">
      <t c="1">
        <n x="47"/>
      </t>
    </mdx>
    <mdx n="0" f="m">
      <t c="1">
        <n x="48"/>
      </t>
    </mdx>
    <mdx n="0" f="m">
      <t c="1">
        <n x="49"/>
      </t>
    </mdx>
    <mdx n="0" f="m">
      <t c="1">
        <n x="50"/>
      </t>
    </mdx>
    <mdx n="0" f="m">
      <t c="1">
        <n x="51"/>
      </t>
    </mdx>
    <mdx n="0" f="m">
      <t c="1">
        <n x="52"/>
      </t>
    </mdx>
    <mdx n="0" f="m">
      <t c="1">
        <n x="53"/>
      </t>
    </mdx>
    <mdx n="0" f="m">
      <t c="1">
        <n x="54"/>
      </t>
    </mdx>
    <mdx n="0" f="m">
      <t c="1">
        <n x="55"/>
      </t>
    </mdx>
    <mdx n="0" f="m">
      <t c="1">
        <n x="56"/>
      </t>
    </mdx>
    <mdx n="0" f="m">
      <t c="1">
        <n x="57"/>
      </t>
    </mdx>
    <mdx n="0" f="m">
      <t c="1">
        <n x="58"/>
      </t>
    </mdx>
    <mdx n="0" f="m">
      <t c="1">
        <n x="59"/>
      </t>
    </mdx>
    <mdx n="0" f="m">
      <t c="1">
        <n x="60"/>
      </t>
    </mdx>
    <mdx n="0" f="m">
      <t c="1">
        <n x="61"/>
      </t>
    </mdx>
    <mdx n="0" f="m">
      <t c="2">
        <n x="62"/>
        <n x="63"/>
      </t>
    </mdx>
    <mdx n="0" f="m">
      <t c="2">
        <n x="64"/>
        <n x="4"/>
      </t>
    </mdx>
    <mdx n="0" f="m">
      <t c="2">
        <n x="65"/>
        <n x="9"/>
      </t>
    </mdx>
    <mdx n="0" f="m">
      <t c="2">
        <n x="66"/>
        <n x="11"/>
      </t>
    </mdx>
    <mdx n="0" f="m">
      <t c="2">
        <n x="15"/>
        <n x="2"/>
      </t>
    </mdx>
    <mdx n="0" f="m">
      <t c="2">
        <n x="67"/>
        <n x="4"/>
      </t>
    </mdx>
    <mdx n="0" f="m">
      <t c="1">
        <n x="68"/>
      </t>
    </mdx>
    <mdx n="0" f="m">
      <t c="2">
        <n x="19"/>
        <n x="4"/>
      </t>
    </mdx>
    <mdx n="0" f="m">
      <t c="2">
        <n x="69"/>
        <n x="70"/>
      </t>
    </mdx>
    <mdx n="0" f="m">
      <t c="1">
        <n x="71"/>
      </t>
    </mdx>
    <mdx n="0" f="m">
      <t c="2">
        <n x="23"/>
        <n x="4"/>
      </t>
    </mdx>
    <mdx n="0" f="m">
      <t c="2">
        <n x="72"/>
        <n x="13"/>
      </t>
    </mdx>
    <mdx n="0" f="m">
      <t c="1">
        <n x="73"/>
      </t>
    </mdx>
    <mdx n="0" f="m">
      <t c="2">
        <n x="27"/>
        <n x="74"/>
      </t>
    </mdx>
    <mdx n="0" f="m">
      <t c="2">
        <n x="75"/>
        <n x="74"/>
      </t>
    </mdx>
    <mdx n="0" f="m">
      <t c="1">
        <n x="76"/>
      </t>
    </mdx>
    <mdx n="0" f="m">
      <t c="2">
        <n x="31"/>
        <n x="9"/>
      </t>
    </mdx>
    <mdx n="0" f="m">
      <t c="2">
        <n x="77"/>
        <n x="9"/>
      </t>
    </mdx>
    <mdx n="0" f="m">
      <t c="1">
        <n x="78"/>
      </t>
    </mdx>
    <mdx n="0" f="m">
      <t c="2">
        <n x="35"/>
        <n x="2"/>
      </t>
    </mdx>
    <mdx n="0" f="m">
      <t c="2">
        <n x="79"/>
        <n x="11"/>
      </t>
    </mdx>
    <mdx n="0" f="m">
      <t c="1">
        <n x="80"/>
      </t>
    </mdx>
    <mdx n="0" f="m">
      <t c="2">
        <n x="39"/>
        <n x="11"/>
      </t>
    </mdx>
    <mdx n="0" f="m">
      <t c="2">
        <n x="81"/>
        <n x="74"/>
      </t>
    </mdx>
    <mdx n="0" f="m">
      <t c="1">
        <n x="82"/>
      </t>
    </mdx>
    <mdx n="0" f="m">
      <t c="2">
        <n x="43"/>
        <n x="63"/>
      </t>
    </mdx>
    <mdx n="0" f="m">
      <t c="2">
        <n x="83"/>
        <n x="63"/>
      </t>
    </mdx>
    <mdx n="0" f="m">
      <t c="1">
        <n x="84"/>
      </t>
    </mdx>
    <mdx n="0" f="m">
      <t c="2">
        <n x="47"/>
        <n x="85"/>
      </t>
    </mdx>
    <mdx n="0" f="m">
      <t c="2">
        <n x="86"/>
        <n x="87"/>
      </t>
    </mdx>
    <mdx n="0" f="m">
      <t c="1">
        <n x="88"/>
      </t>
    </mdx>
    <mdx n="0" f="m">
      <t c="2">
        <n x="51"/>
        <n x="2"/>
      </t>
    </mdx>
    <mdx n="0" f="m">
      <t c="2">
        <n x="89"/>
        <n x="13"/>
      </t>
    </mdx>
    <mdx n="0" f="m">
      <t c="1">
        <n x="90"/>
      </t>
    </mdx>
    <mdx n="0" f="m">
      <t c="2">
        <n x="55"/>
        <n x="74"/>
      </t>
    </mdx>
    <mdx n="0" f="m">
      <t c="2">
        <n x="91"/>
        <n x="9"/>
      </t>
    </mdx>
    <mdx n="0" f="m">
      <t c="1">
        <n x="92"/>
      </t>
    </mdx>
    <mdx n="0" f="m">
      <t c="2">
        <n x="59"/>
        <n x="93"/>
      </t>
    </mdx>
    <mdx n="0" f="m">
      <t c="2">
        <n x="94"/>
        <n x="70"/>
      </t>
    </mdx>
    <mdx n="0" f="m">
      <t c="1">
        <n x="95"/>
      </t>
    </mdx>
    <mdx n="0" f="m">
      <t c="1">
        <n x="96"/>
      </t>
    </mdx>
    <mdx n="0" f="m">
      <t c="1">
        <n x="97"/>
      </t>
    </mdx>
    <mdx n="0" f="m">
      <t c="1">
        <n x="98"/>
      </t>
    </mdx>
    <mdx n="0" f="m">
      <t c="1">
        <n x="99"/>
      </t>
    </mdx>
    <mdx n="0" f="m">
      <t c="1">
        <n x="100"/>
      </t>
    </mdx>
    <mdx n="0" f="m">
      <t c="1">
        <n x="101"/>
      </t>
    </mdx>
    <mdx n="0" f="m">
      <t c="1">
        <n x="102"/>
      </t>
    </mdx>
    <mdx n="0" f="m">
      <t c="1">
        <n x="103"/>
      </t>
    </mdx>
    <mdx n="0" f="m">
      <t c="1">
        <n x="104"/>
      </t>
    </mdx>
    <mdx n="0" f="m">
      <t c="1">
        <n x="105"/>
      </t>
    </mdx>
    <mdx n="0" f="m">
      <t c="1">
        <n x="106"/>
      </t>
    </mdx>
    <mdx n="0" f="m">
      <t c="1">
        <n x="107"/>
      </t>
    </mdx>
    <mdx n="0" f="m">
      <t c="1">
        <n x="108"/>
      </t>
    </mdx>
    <mdx n="0" f="m">
      <t c="1">
        <n x="109"/>
      </t>
    </mdx>
    <mdx n="0" f="m">
      <t c="1">
        <n x="110"/>
      </t>
    </mdx>
    <mdx n="0" f="m">
      <t c="1">
        <n x="111"/>
      </t>
    </mdx>
    <mdx n="0" f="m">
      <t c="1">
        <n x="112"/>
      </t>
    </mdx>
    <mdx n="0" f="m">
      <t c="1">
        <n x="113"/>
      </t>
    </mdx>
    <mdx n="0" f="m">
      <t c="1">
        <n x="114"/>
      </t>
    </mdx>
    <mdx n="0" f="m">
      <t c="1">
        <n x="115"/>
      </t>
    </mdx>
    <mdx n="0" f="m">
      <t c="1">
        <n x="116"/>
      </t>
    </mdx>
    <mdx n="0" f="m">
      <t c="1">
        <n x="117"/>
      </t>
    </mdx>
    <mdx n="0" f="m">
      <t c="1">
        <n x="118"/>
      </t>
    </mdx>
    <mdx n="0" f="m">
      <t c="1">
        <n x="119"/>
      </t>
    </mdx>
    <mdx n="0" f="m">
      <t c="1">
        <n x="120"/>
      </t>
    </mdx>
    <mdx n="0" f="m">
      <t c="1">
        <n x="121"/>
      </t>
    </mdx>
    <mdx n="0" f="m">
      <t c="1">
        <n x="122"/>
      </t>
    </mdx>
    <mdx n="0" f="m">
      <t c="1">
        <n x="123"/>
      </t>
    </mdx>
    <mdx n="0" f="m">
      <t c="1">
        <n x="124"/>
      </t>
    </mdx>
    <mdx n="0" f="m">
      <t c="1">
        <n x="125"/>
      </t>
    </mdx>
    <mdx n="0" f="m">
      <t c="1">
        <n x="126"/>
      </t>
    </mdx>
    <mdx n="0" f="m">
      <t c="1">
        <n x="127"/>
      </t>
    </mdx>
    <mdx n="0" f="m">
      <t c="1">
        <n x="128"/>
      </t>
    </mdx>
    <mdx n="0" f="m">
      <t c="1">
        <n x="129"/>
      </t>
    </mdx>
    <mdx n="0" f="m">
      <t c="1">
        <n x="130"/>
      </t>
    </mdx>
    <mdx n="0" f="m">
      <t c="1">
        <n x="131"/>
      </t>
    </mdx>
    <mdx n="0" f="m">
      <t c="1">
        <n x="132"/>
      </t>
    </mdx>
    <mdx n="0" f="m">
      <t c="1">
        <n x="133"/>
      </t>
    </mdx>
    <mdx n="0" f="m">
      <t c="1">
        <n x="134"/>
      </t>
    </mdx>
    <mdx n="0" f="m">
      <t c="1">
        <n x="135"/>
      </t>
    </mdx>
    <mdx n="0" f="m">
      <t c="1">
        <n x="136"/>
      </t>
    </mdx>
    <mdx n="0" f="m">
      <t c="1">
        <n x="137"/>
      </t>
    </mdx>
    <mdx n="0" f="m">
      <t c="1">
        <n x="138"/>
      </t>
    </mdx>
    <mdx n="0" f="m">
      <t c="1">
        <n x="139"/>
      </t>
    </mdx>
    <mdx n="0" f="m">
      <t c="1">
        <n x="140"/>
      </t>
    </mdx>
    <mdx n="0" f="m">
      <t c="1">
        <n x="141"/>
      </t>
    </mdx>
    <mdx n="0" f="m">
      <t c="1">
        <n x="142"/>
      </t>
    </mdx>
    <mdx n="0" f="m">
      <t c="1">
        <n x="143"/>
      </t>
    </mdx>
    <mdx n="0" f="m">
      <t c="1">
        <n x="144"/>
      </t>
    </mdx>
    <mdx n="0" f="m">
      <t c="1">
        <n x="145"/>
      </t>
    </mdx>
    <mdx n="0" f="m">
      <t c="1">
        <n x="146"/>
      </t>
    </mdx>
    <mdx n="0" f="m">
      <t c="1">
        <n x="147"/>
      </t>
    </mdx>
    <mdx n="0" f="m">
      <t c="1">
        <n x="148"/>
      </t>
    </mdx>
    <mdx n="0" f="m">
      <t c="1">
        <n x="149"/>
      </t>
    </mdx>
    <mdx n="0" f="m">
      <t c="1">
        <n x="150"/>
      </t>
    </mdx>
    <mdx n="0" f="m">
      <t c="1">
        <n x="151"/>
      </t>
    </mdx>
    <mdx n="0" f="m">
      <t c="1">
        <n x="152"/>
      </t>
    </mdx>
    <mdx n="0" f="m">
      <t c="1">
        <n x="153"/>
      </t>
    </mdx>
    <mdx n="0" f="m">
      <t c="1">
        <n x="154"/>
      </t>
    </mdx>
    <mdx n="0" f="m">
      <t c="1">
        <n x="155"/>
      </t>
    </mdx>
    <mdx n="0" f="m">
      <t c="1">
        <n x="156"/>
      </t>
    </mdx>
    <mdx n="0" f="m">
      <t c="1">
        <n x="157"/>
      </t>
    </mdx>
    <mdx n="0" f="m">
      <t c="1">
        <n x="158"/>
      </t>
    </mdx>
    <mdx n="0" f="m">
      <t c="1">
        <n x="159"/>
      </t>
    </mdx>
    <mdx n="0" f="m">
      <t c="1">
        <n x="160"/>
      </t>
    </mdx>
    <mdx n="0" f="m">
      <t c="1">
        <n x="161"/>
      </t>
    </mdx>
    <mdx n="0" f="m">
      <t c="1">
        <n x="162"/>
      </t>
    </mdx>
    <mdx n="0" f="m">
      <t c="1">
        <n x="163"/>
      </t>
    </mdx>
    <mdx n="0" f="m">
      <t c="1">
        <n x="164"/>
      </t>
    </mdx>
    <mdx n="0" f="m">
      <t c="1">
        <n x="165"/>
      </t>
    </mdx>
    <mdx n="0" f="m">
      <t c="1">
        <n x="166"/>
      </t>
    </mdx>
    <mdx n="0" f="m">
      <t c="1">
        <n x="167"/>
      </t>
    </mdx>
    <mdx n="0" f="m">
      <t c="1">
        <n x="168"/>
      </t>
    </mdx>
    <mdx n="0" f="m">
      <t c="1">
        <n x="169"/>
      </t>
    </mdx>
    <mdx n="0" f="m">
      <t c="1">
        <n x="170"/>
      </t>
    </mdx>
    <mdx n="0" f="m">
      <t c="1">
        <n x="171"/>
      </t>
    </mdx>
    <mdx n="0" f="m">
      <t c="1">
        <n x="172"/>
      </t>
    </mdx>
    <mdx n="0" f="m">
      <t c="1">
        <n x="173"/>
      </t>
    </mdx>
    <mdx n="0" f="m">
      <t c="1">
        <n x="174"/>
      </t>
    </mdx>
    <mdx n="0" f="m">
      <t c="1">
        <n x="175"/>
      </t>
    </mdx>
    <mdx n="0" f="m">
      <t c="1">
        <n x="176"/>
      </t>
    </mdx>
    <mdx n="0" f="m">
      <t c="1">
        <n x="177"/>
      </t>
    </mdx>
    <mdx n="0" f="m">
      <t c="1">
        <n x="178"/>
      </t>
    </mdx>
    <mdx n="0" f="m">
      <t c="1">
        <n x="179"/>
      </t>
    </mdx>
    <mdx n="0" f="m">
      <t c="1">
        <n x="180"/>
      </t>
    </mdx>
    <mdx n="0" f="m">
      <t c="1">
        <n x="181"/>
      </t>
    </mdx>
    <mdx n="0" f="m">
      <t c="1">
        <n x="182"/>
      </t>
    </mdx>
    <mdx n="0" f="m">
      <t c="1">
        <n x="183"/>
      </t>
    </mdx>
    <mdx n="0" f="m">
      <t c="1">
        <n x="184"/>
      </t>
    </mdx>
    <mdx n="0" f="m">
      <t c="1">
        <n x="185"/>
      </t>
    </mdx>
    <mdx n="0" f="m">
      <t c="1">
        <n x="186"/>
      </t>
    </mdx>
    <mdx n="0" f="m">
      <t c="1">
        <n x="187"/>
      </t>
    </mdx>
    <mdx n="0" f="m">
      <t c="1">
        <n x="188"/>
      </t>
    </mdx>
    <mdx n="0" f="m">
      <t c="1">
        <n x="189"/>
      </t>
    </mdx>
    <mdx n="0" f="m">
      <t c="1">
        <n x="190"/>
      </t>
    </mdx>
    <mdx n="0" f="m">
      <t c="1">
        <n x="191"/>
      </t>
    </mdx>
    <mdx n="0" f="m">
      <t c="1">
        <n x="192"/>
      </t>
    </mdx>
    <mdx n="0" f="m">
      <t c="1">
        <n x="193"/>
      </t>
    </mdx>
    <mdx n="0" f="m">
      <t c="1">
        <n x="194"/>
      </t>
    </mdx>
    <mdx n="0" f="m">
      <t c="1">
        <n x="195"/>
      </t>
    </mdx>
    <mdx n="0" f="m">
      <t c="1">
        <n x="196"/>
      </t>
    </mdx>
    <mdx n="0" f="m">
      <t c="1">
        <n x="197"/>
      </t>
    </mdx>
    <mdx n="0" f="m">
      <t c="1">
        <n x="198"/>
      </t>
    </mdx>
    <mdx n="0" f="m">
      <t c="1">
        <n x="199"/>
      </t>
    </mdx>
    <mdx n="0" f="m">
      <t c="1">
        <n x="200"/>
      </t>
    </mdx>
    <mdx n="0" f="m">
      <t c="1">
        <n x="201"/>
      </t>
    </mdx>
    <mdx n="0" f="m">
      <t c="1">
        <n x="202"/>
      </t>
    </mdx>
    <mdx n="0" f="m">
      <t c="1">
        <n x="203"/>
      </t>
    </mdx>
    <mdx n="0" f="m">
      <t c="1">
        <n x="204"/>
      </t>
    </mdx>
    <mdx n="0" f="m">
      <t c="1">
        <n x="205"/>
      </t>
    </mdx>
    <mdx n="0" f="m">
      <t c="1">
        <n x="206"/>
      </t>
    </mdx>
    <mdx n="0" f="m">
      <t c="1">
        <n x="207"/>
      </t>
    </mdx>
    <mdx n="0" f="m">
      <t c="1">
        <n x="208"/>
      </t>
    </mdx>
    <mdx n="0" f="m">
      <t c="1">
        <n x="209"/>
      </t>
    </mdx>
    <mdx n="0" f="m">
      <t c="1">
        <n x="210"/>
      </t>
    </mdx>
    <mdx n="0" f="m">
      <t c="1">
        <n x="211"/>
      </t>
    </mdx>
    <mdx n="0" f="m">
      <t c="1">
        <n x="212"/>
      </t>
    </mdx>
    <mdx n="0" f="m">
      <t c="1">
        <n x="213"/>
      </t>
    </mdx>
    <mdx n="0" f="m">
      <t c="1">
        <n x="214"/>
      </t>
    </mdx>
    <mdx n="0" f="m">
      <t c="1">
        <n x="215"/>
      </t>
    </mdx>
    <mdx n="0" f="m">
      <t c="1">
        <n x="216"/>
      </t>
    </mdx>
    <mdx n="0" f="m">
      <t c="1">
        <n x="217"/>
      </t>
    </mdx>
    <mdx n="0" f="m">
      <t c="1">
        <n x="218"/>
      </t>
    </mdx>
    <mdx n="0" f="m">
      <t c="1">
        <n x="219"/>
      </t>
    </mdx>
    <mdx n="0" f="m">
      <t c="1">
        <n x="220"/>
      </t>
    </mdx>
    <mdx n="0" f="m">
      <t c="1">
        <n x="221"/>
      </t>
    </mdx>
    <mdx n="0" f="m">
      <t c="1">
        <n x="222"/>
      </t>
    </mdx>
    <mdx n="0" f="m">
      <t c="1">
        <n x="223"/>
      </t>
    </mdx>
    <mdx n="0" f="m">
      <t c="1">
        <n x="224"/>
      </t>
    </mdx>
    <mdx n="0" f="m">
      <t c="1">
        <n x="225"/>
      </t>
    </mdx>
    <mdx n="0" f="m">
      <t c="1">
        <n x="226"/>
      </t>
    </mdx>
    <mdx n="0" f="m">
      <t c="1">
        <n x="227"/>
      </t>
    </mdx>
    <mdx n="0" f="m">
      <t c="1">
        <n x="228"/>
      </t>
    </mdx>
    <mdx n="0" f="m">
      <t c="1">
        <n x="229"/>
      </t>
    </mdx>
    <mdx n="0" f="m">
      <t c="1">
        <n x="230"/>
      </t>
    </mdx>
    <mdx n="0" f="m">
      <t c="1">
        <n x="231"/>
      </t>
    </mdx>
    <mdx n="0" f="m">
      <t c="1">
        <n x="232"/>
      </t>
    </mdx>
    <mdx n="0" f="m">
      <t c="1">
        <n x="233"/>
      </t>
    </mdx>
    <mdx n="0" f="m">
      <t c="1">
        <n x="234"/>
      </t>
    </mdx>
    <mdx n="0" f="m">
      <t c="1">
        <n x="235"/>
      </t>
    </mdx>
    <mdx n="0" f="m">
      <t c="1">
        <n x="236"/>
      </t>
    </mdx>
    <mdx n="0" f="m">
      <t c="1">
        <n x="237"/>
      </t>
    </mdx>
    <mdx n="0" f="m">
      <t c="1">
        <n x="238"/>
      </t>
    </mdx>
    <mdx n="0" f="m">
      <t c="1">
        <n x="239"/>
      </t>
    </mdx>
    <mdx n="0" f="m">
      <t c="1">
        <n x="240"/>
      </t>
    </mdx>
    <mdx n="0" f="m">
      <t c="1">
        <n x="241"/>
      </t>
    </mdx>
    <mdx n="0" f="m">
      <t c="1">
        <n x="242"/>
      </t>
    </mdx>
    <mdx n="0" f="m">
      <t c="1">
        <n x="243"/>
      </t>
    </mdx>
    <mdx n="0" f="m">
      <t c="1">
        <n x="244"/>
      </t>
    </mdx>
    <mdx n="0" f="m">
      <t c="1">
        <n x="245"/>
      </t>
    </mdx>
    <mdx n="0" f="m">
      <t c="1">
        <n x="246"/>
      </t>
    </mdx>
    <mdx n="0" f="m">
      <t c="1">
        <n x="247"/>
      </t>
    </mdx>
    <mdx n="0" f="m">
      <t c="1">
        <n x="248"/>
      </t>
    </mdx>
    <mdx n="0" f="m">
      <t c="1">
        <n x="249"/>
      </t>
    </mdx>
    <mdx n="0" f="m">
      <t c="1">
        <n x="250"/>
      </t>
    </mdx>
    <mdx n="0" f="m">
      <t c="1">
        <n x="251"/>
      </t>
    </mdx>
    <mdx n="0" f="m">
      <t c="1">
        <n x="252"/>
      </t>
    </mdx>
    <mdx n="0" f="m">
      <t c="1">
        <n x="253"/>
      </t>
    </mdx>
    <mdx n="0" f="m">
      <t c="1">
        <n x="254"/>
      </t>
    </mdx>
    <mdx n="0" f="m">
      <t c="1">
        <n x="255"/>
      </t>
    </mdx>
    <mdx n="0" f="m">
      <t c="1">
        <n x="256"/>
      </t>
    </mdx>
    <mdx n="0" f="m">
      <t c="1">
        <n x="257"/>
      </t>
    </mdx>
    <mdx n="0" f="m">
      <t c="1">
        <n x="258"/>
      </t>
    </mdx>
    <mdx n="0" f="m">
      <t c="1">
        <n x="259"/>
      </t>
    </mdx>
    <mdx n="0" f="m">
      <t c="1">
        <n x="260"/>
      </t>
    </mdx>
    <mdx n="0" f="m">
      <t c="1">
        <n x="261"/>
      </t>
    </mdx>
    <mdx n="0" f="m">
      <t c="1">
        <n x="262"/>
      </t>
    </mdx>
    <mdx n="0" f="m">
      <t c="1">
        <n x="263"/>
      </t>
    </mdx>
    <mdx n="0" f="m">
      <t c="1">
        <n x="264"/>
      </t>
    </mdx>
    <mdx n="0" f="m">
      <t c="1">
        <n x="265"/>
      </t>
    </mdx>
    <mdx n="0" f="m">
      <t c="1">
        <n x="266"/>
      </t>
    </mdx>
    <mdx n="0" f="m">
      <t c="1">
        <n x="267"/>
      </t>
    </mdx>
    <mdx n="0" f="m">
      <t c="1">
        <n x="268"/>
      </t>
    </mdx>
    <mdx n="0" f="m">
      <t c="1">
        <n x="269"/>
      </t>
    </mdx>
    <mdx n="0" f="m">
      <t c="1">
        <n x="270"/>
      </t>
    </mdx>
    <mdx n="0" f="m">
      <t c="1">
        <n x="271"/>
      </t>
    </mdx>
    <mdx n="0" f="m">
      <t c="1">
        <n x="272"/>
      </t>
    </mdx>
    <mdx n="0" f="m">
      <t c="1">
        <n x="273"/>
      </t>
    </mdx>
    <mdx n="0" f="m">
      <t c="1">
        <n x="274"/>
      </t>
    </mdx>
    <mdx n="0" f="m">
      <t c="1">
        <n x="62"/>
      </t>
    </mdx>
    <mdx n="0" f="m">
      <t c="2">
        <n x="275"/>
        <n x="4"/>
      </t>
    </mdx>
    <mdx n="0" f="m">
      <t c="1">
        <n x="276"/>
      </t>
    </mdx>
    <mdx n="0" f="m">
      <t c="2">
        <n x="277"/>
        <n x="2"/>
      </t>
    </mdx>
    <mdx n="0" f="m">
      <t c="2">
        <n x="17"/>
        <n x="70"/>
      </t>
    </mdx>
    <mdx n="0" f="m">
      <t c="1">
        <n x="278"/>
      </t>
    </mdx>
    <mdx n="0" f="m">
      <t c="1">
        <n x="69"/>
      </t>
    </mdx>
    <mdx n="0" f="m">
      <t c="2">
        <n x="279"/>
        <n x="4"/>
      </t>
    </mdx>
    <mdx n="0" f="m">
      <t c="2">
        <n x="24"/>
        <n x="2"/>
      </t>
    </mdx>
    <mdx n="0" f="m">
      <t c="2">
        <n x="26"/>
        <n x="11"/>
      </t>
    </mdx>
    <mdx n="0" f="m">
      <t c="1">
        <n x="280"/>
      </t>
    </mdx>
    <mdx n="0" f="m">
      <t c="2">
        <n x="76"/>
        <n x="7"/>
      </t>
    </mdx>
    <mdx n="0" f="m">
      <t c="2">
        <n x="281"/>
        <n x="9"/>
      </t>
    </mdx>
    <mdx n="0" f="m">
      <t c="2">
        <n x="33"/>
        <n x="9"/>
      </t>
    </mdx>
    <mdx n="0" f="m">
      <t c="1">
        <n x="282"/>
      </t>
    </mdx>
    <mdx n="0" f="m">
      <t c="1">
        <n x="79"/>
      </t>
    </mdx>
    <mdx n="0" f="m">
      <t c="2">
        <n x="283"/>
        <n x="11"/>
      </t>
    </mdx>
    <mdx n="0" f="m">
      <t c="2">
        <n x="40"/>
        <n x="74"/>
      </t>
    </mdx>
    <mdx n="0" f="m">
      <t c="2">
        <n x="42"/>
        <n x="7"/>
      </t>
    </mdx>
    <mdx n="0" f="m">
      <t c="1">
        <n x="284"/>
      </t>
    </mdx>
    <mdx n="0" f="m">
      <t c="2">
        <n x="84"/>
        <n x="85"/>
      </t>
    </mdx>
    <mdx n="0" f="m">
      <t c="2">
        <n x="285"/>
        <n x="93"/>
      </t>
    </mdx>
    <mdx n="0" f="m">
      <t c="2">
        <n x="49"/>
        <n x="93"/>
      </t>
    </mdx>
    <mdx n="0" f="m">
      <t c="1">
        <n x="286"/>
      </t>
    </mdx>
    <mdx n="0" f="m">
      <t c="1">
        <n x="89"/>
      </t>
    </mdx>
    <mdx n="0" f="m">
      <t c="2">
        <n x="287"/>
        <n x="11"/>
      </t>
    </mdx>
    <mdx n="0" f="m">
      <t c="2">
        <n x="56"/>
        <n x="74"/>
      </t>
    </mdx>
    <mdx n="0" f="m">
      <t c="2">
        <n x="58"/>
        <n x="85"/>
      </t>
    </mdx>
    <mdx n="0" f="m">
      <t c="1">
        <n x="288"/>
      </t>
    </mdx>
    <mdx n="0" f="m">
      <t c="2">
        <n x="95"/>
        <n x="2"/>
      </t>
    </mdx>
    <mdx n="0" f="m">
      <t c="2">
        <n x="289"/>
        <n x="13"/>
      </t>
    </mdx>
    <mdx n="0" f="m">
      <t c="1">
        <n x="290"/>
      </t>
    </mdx>
    <mdx n="0" f="m">
      <t c="2">
        <n x="99"/>
        <n x="74"/>
      </t>
    </mdx>
    <mdx n="0" f="m">
      <t c="2">
        <n x="291"/>
        <n x="74"/>
      </t>
    </mdx>
    <mdx n="0" f="m">
      <t c="1">
        <n x="292"/>
      </t>
    </mdx>
    <mdx n="0" f="m">
      <t c="2">
        <n x="103"/>
        <n x="7"/>
      </t>
    </mdx>
    <mdx n="0" f="m">
      <t c="2">
        <n x="293"/>
        <n x="9"/>
      </t>
    </mdx>
    <mdx n="0" f="m">
      <t c="1">
        <n x="294"/>
      </t>
    </mdx>
    <mdx n="0" f="m">
      <t c="2">
        <n x="107"/>
        <n x="63"/>
      </t>
    </mdx>
    <mdx n="0" f="m">
      <t c="2">
        <n x="295"/>
        <n x="85"/>
      </t>
    </mdx>
    <mdx n="0" f="m">
      <t c="1">
        <n x="296"/>
      </t>
    </mdx>
    <mdx n="0" f="m">
      <t c="2">
        <n x="111"/>
        <n x="93"/>
      </t>
    </mdx>
    <mdx n="0" f="m">
      <t c="2">
        <n x="297"/>
        <n x="87"/>
      </t>
    </mdx>
    <mdx n="0" f="m">
      <t c="1">
        <n x="298"/>
      </t>
    </mdx>
    <mdx n="0" f="m">
      <t c="2">
        <n x="115"/>
        <n x="2"/>
      </t>
    </mdx>
    <mdx n="0" f="m">
      <t c="2">
        <n x="299"/>
        <n x="2"/>
      </t>
    </mdx>
    <mdx n="0" f="m">
      <t c="1">
        <n x="300"/>
      </t>
    </mdx>
    <mdx n="0" f="m">
      <t c="2">
        <n x="119"/>
        <n x="13"/>
      </t>
    </mdx>
    <mdx n="0" f="m">
      <t c="2">
        <n x="301"/>
        <n x="13"/>
      </t>
    </mdx>
    <mdx n="0" f="m">
      <t c="1">
        <n x="302"/>
      </t>
    </mdx>
    <mdx n="0" f="m">
      <t c="2">
        <n x="123"/>
        <n x="11"/>
      </t>
    </mdx>
    <mdx n="0" f="m">
      <t c="2">
        <n x="303"/>
        <n x="74"/>
      </t>
    </mdx>
    <mdx n="0" f="m">
      <t c="1">
        <n x="304"/>
      </t>
    </mdx>
    <mdx n="0" f="m">
      <t c="2">
        <n x="127"/>
        <n x="74"/>
      </t>
    </mdx>
    <mdx n="0" f="m">
      <t c="2">
        <n x="305"/>
        <n x="7"/>
      </t>
    </mdx>
    <mdx n="0" f="m">
      <t c="1">
        <n x="306"/>
      </t>
    </mdx>
    <mdx n="0" f="m">
      <t c="2">
        <n x="131"/>
        <n x="63"/>
      </t>
    </mdx>
    <mdx n="0" f="m">
      <t c="2">
        <n x="307"/>
        <n x="63"/>
      </t>
    </mdx>
    <mdx n="0" f="m">
      <t c="1">
        <n x="308"/>
      </t>
    </mdx>
    <mdx n="0" f="m">
      <t c="2">
        <n x="135"/>
        <n x="93"/>
      </t>
    </mdx>
    <mdx n="0" f="m">
      <t c="2">
        <n x="309"/>
        <n x="93"/>
      </t>
    </mdx>
    <mdx n="0" f="m">
      <t c="1">
        <n x="310"/>
      </t>
    </mdx>
    <mdx n="0" f="m">
      <t c="2">
        <n x="139"/>
        <n x="87"/>
      </t>
    </mdx>
    <mdx n="0" f="m">
      <t c="2">
        <n x="311"/>
        <n x="70"/>
      </t>
    </mdx>
    <mdx n="0" f="m">
      <t c="1">
        <n x="312"/>
      </t>
    </mdx>
    <mdx n="0" f="m">
      <t c="2">
        <n x="143"/>
        <n x="4"/>
      </t>
    </mdx>
    <mdx n="0" f="m">
      <t c="2">
        <n x="313"/>
        <n x="13"/>
      </t>
    </mdx>
    <mdx n="0" f="m">
      <t c="1">
        <n x="314"/>
      </t>
    </mdx>
    <mdx n="0" f="m">
      <t c="2">
        <n x="147"/>
        <n x="11"/>
      </t>
    </mdx>
    <mdx n="0" f="m">
      <t c="2">
        <n x="315"/>
        <n x="11"/>
      </t>
    </mdx>
    <mdx n="0" f="m">
      <t c="1">
        <n x="316"/>
      </t>
    </mdx>
    <mdx n="0" f="m">
      <t c="2">
        <n x="151"/>
        <n x="74"/>
      </t>
    </mdx>
    <mdx n="0" f="m">
      <t c="2">
        <n x="317"/>
        <n x="7"/>
      </t>
    </mdx>
    <mdx n="0" f="m">
      <t c="1">
        <n x="318"/>
      </t>
    </mdx>
    <mdx n="0" f="m">
      <t c="2">
        <n x="155"/>
        <n x="7"/>
      </t>
    </mdx>
    <mdx n="0" f="m">
      <t c="2">
        <n x="319"/>
        <n x="9"/>
      </t>
    </mdx>
    <mdx n="0" f="m">
      <t c="1">
        <n x="320"/>
      </t>
    </mdx>
    <mdx n="0" f="m">
      <t c="2">
        <n x="159"/>
        <n x="63"/>
      </t>
    </mdx>
    <mdx n="0" f="m">
      <t c="2">
        <n x="321"/>
        <n x="63"/>
      </t>
    </mdx>
    <mdx n="0" f="m">
      <t c="1">
        <n x="322"/>
      </t>
    </mdx>
    <mdx n="0" f="m">
      <t c="2">
        <n x="163"/>
        <n x="85"/>
      </t>
    </mdx>
    <mdx n="0" f="m">
      <t c="2">
        <n x="323"/>
        <n x="93"/>
      </t>
    </mdx>
    <mdx n="0" f="m">
      <t c="1">
        <n x="324"/>
      </t>
    </mdx>
    <mdx n="0" f="m">
      <t c="2">
        <n x="167"/>
        <n x="70"/>
      </t>
    </mdx>
    <mdx n="0" f="m">
      <t c="2">
        <n x="325"/>
        <n x="70"/>
      </t>
    </mdx>
    <mdx n="0" f="m">
      <t c="1">
        <n x="326"/>
      </t>
    </mdx>
    <mdx n="0" f="m">
      <t c="2">
        <n x="171"/>
        <n x="13"/>
      </t>
    </mdx>
    <mdx n="0" f="m">
      <t c="2">
        <n x="327"/>
        <n x="13"/>
      </t>
    </mdx>
    <mdx n="0" f="m">
      <t c="1">
        <n x="328"/>
      </t>
    </mdx>
    <mdx n="0" f="m">
      <t c="2">
        <n x="175"/>
        <n x="11"/>
      </t>
    </mdx>
    <mdx n="0" f="m">
      <t c="2">
        <n x="329"/>
        <n x="11"/>
      </t>
    </mdx>
    <mdx n="0" f="m">
      <t c="1">
        <n x="330"/>
      </t>
    </mdx>
    <mdx n="0" f="m">
      <t c="2">
        <n x="179"/>
        <n x="74"/>
      </t>
    </mdx>
    <mdx n="0" f="m">
      <t c="2">
        <n x="331"/>
        <n x="9"/>
      </t>
    </mdx>
    <mdx n="0" f="m">
      <t c="1">
        <n x="332"/>
      </t>
    </mdx>
    <mdx n="0" f="m">
      <t c="2">
        <n x="183"/>
        <n x="93"/>
      </t>
    </mdx>
    <mdx n="0" f="m">
      <t c="2">
        <n x="333"/>
        <n x="87"/>
      </t>
    </mdx>
    <mdx n="0" f="m">
      <t c="1">
        <n x="334"/>
      </t>
    </mdx>
    <mdx n="0" f="m">
      <t c="2">
        <n x="187"/>
        <n x="70"/>
      </t>
    </mdx>
    <mdx n="0" f="m">
      <t c="2">
        <n x="335"/>
        <n x="2"/>
      </t>
    </mdx>
    <mdx n="0" f="m">
      <t c="1">
        <n x="336"/>
      </t>
    </mdx>
    <mdx n="0" f="m">
      <t c="2">
        <n x="191"/>
        <n x="13"/>
      </t>
    </mdx>
    <mdx n="0" f="m">
      <t c="2">
        <n x="337"/>
        <n x="13"/>
      </t>
    </mdx>
    <mdx n="0" f="m">
      <t c="1">
        <n x="338"/>
      </t>
    </mdx>
    <mdx n="0" f="m">
      <t c="2">
        <n x="195"/>
        <n x="11"/>
      </t>
    </mdx>
    <mdx n="0" f="m">
      <t c="2">
        <n x="339"/>
        <n x="74"/>
      </t>
    </mdx>
    <mdx n="0" f="m">
      <t c="1">
        <n x="340"/>
      </t>
    </mdx>
    <mdx n="0" f="m">
      <t c="2">
        <n x="199"/>
        <n x="7"/>
      </t>
    </mdx>
    <mdx n="0" f="m">
      <t c="2">
        <n x="341"/>
        <n x="9"/>
      </t>
    </mdx>
    <mdx n="0" f="m">
      <t c="1">
        <n x="342"/>
      </t>
    </mdx>
    <mdx n="0" f="m">
      <t c="2">
        <n x="203"/>
        <n x="63"/>
      </t>
    </mdx>
    <mdx n="0" f="m">
      <t c="2">
        <n x="343"/>
        <n x="85"/>
      </t>
    </mdx>
    <mdx n="0" f="m">
      <t c="1">
        <n x="344"/>
      </t>
    </mdx>
    <mdx n="0" f="m">
      <t c="2">
        <n x="207"/>
        <n x="93"/>
      </t>
    </mdx>
    <mdx n="0" f="m">
      <t c="2">
        <n x="345"/>
        <n x="87"/>
      </t>
    </mdx>
    <mdx n="0" f="m">
      <t c="1">
        <n x="346"/>
      </t>
    </mdx>
    <mdx n="0" f="m">
      <t c="2">
        <n x="211"/>
        <n x="70"/>
      </t>
    </mdx>
    <mdx n="0" f="m">
      <t c="2">
        <n x="347"/>
        <n x="4"/>
      </t>
    </mdx>
    <mdx n="0" f="m">
      <t c="1">
        <n x="348"/>
      </t>
    </mdx>
    <mdx n="0" f="m">
      <t c="2">
        <n x="215"/>
        <n x="11"/>
      </t>
    </mdx>
    <mdx n="0" f="m">
      <t c="2">
        <n x="349"/>
        <n x="11"/>
      </t>
    </mdx>
    <mdx n="0" f="m">
      <t c="1">
        <n x="350"/>
      </t>
    </mdx>
    <mdx n="0" f="m">
      <t c="2">
        <n x="219"/>
        <n x="74"/>
      </t>
    </mdx>
    <mdx n="0" f="m">
      <t c="2">
        <n x="351"/>
        <n x="74"/>
      </t>
    </mdx>
    <mdx n="0" f="m">
      <t c="1">
        <n x="352"/>
      </t>
    </mdx>
    <mdx n="0" f="m">
      <t c="2">
        <n x="223"/>
        <n x="7"/>
      </t>
    </mdx>
    <mdx n="0" f="m">
      <t c="2">
        <n x="353"/>
        <n x="7"/>
      </t>
    </mdx>
    <mdx n="0" f="m">
      <t c="1">
        <n x="354"/>
      </t>
    </mdx>
    <mdx n="0" f="m">
      <t c="2">
        <n x="227"/>
        <n x="93"/>
      </t>
    </mdx>
    <mdx n="0" f="m">
      <t c="2">
        <n x="355"/>
        <n x="70"/>
      </t>
    </mdx>
    <mdx n="0" f="m">
      <t c="1">
        <n x="356"/>
      </t>
    </mdx>
    <mdx n="0" f="m">
      <t c="2">
        <n x="231"/>
        <n x="2"/>
      </t>
    </mdx>
    <mdx n="0" f="m">
      <t c="2">
        <n x="357"/>
        <n x="13"/>
      </t>
    </mdx>
    <mdx n="0" f="m">
      <t c="1">
        <n x="358"/>
      </t>
    </mdx>
    <mdx n="0" f="m">
      <t c="2">
        <n x="235"/>
        <n x="74"/>
      </t>
    </mdx>
    <mdx n="0" f="m">
      <t c="2">
        <n x="359"/>
        <n x="74"/>
      </t>
    </mdx>
    <mdx n="0" f="m">
      <t c="1">
        <n x="360"/>
      </t>
    </mdx>
    <mdx n="0" f="m">
      <t c="2">
        <n x="239"/>
        <n x="7"/>
      </t>
    </mdx>
    <mdx n="0" f="m">
      <t c="2">
        <n x="361"/>
        <n x="9"/>
      </t>
    </mdx>
    <mdx n="0" f="m">
      <t c="1">
        <n x="362"/>
      </t>
    </mdx>
    <mdx n="0" f="m">
      <t c="2">
        <n x="243"/>
        <n x="63"/>
      </t>
    </mdx>
    <mdx n="0" f="m">
      <t c="2">
        <n x="363"/>
        <n x="85"/>
      </t>
    </mdx>
    <mdx n="0" f="m">
      <t c="1">
        <n x="364"/>
      </t>
    </mdx>
    <mdx n="0" f="m">
      <t c="2">
        <n x="247"/>
        <n x="93"/>
      </t>
    </mdx>
    <mdx n="0" f="m">
      <t c="2">
        <n x="365"/>
        <n x="93"/>
      </t>
    </mdx>
    <mdx n="0" f="m">
      <t c="1">
        <n x="366"/>
      </t>
    </mdx>
    <mdx n="0" f="m">
      <t c="2">
        <n x="251"/>
        <n x="87"/>
      </t>
    </mdx>
    <mdx n="0" f="m">
      <t c="2">
        <n x="367"/>
        <n x="87"/>
      </t>
    </mdx>
    <mdx n="0" f="m">
      <t c="1">
        <n x="368"/>
      </t>
    </mdx>
    <mdx n="0" f="m">
      <t c="2">
        <n x="255"/>
        <n x="70"/>
      </t>
    </mdx>
    <mdx n="0" f="m">
      <t c="2">
        <n x="369"/>
        <n x="70"/>
      </t>
    </mdx>
    <mdx n="0" f="m">
      <t c="1">
        <n x="370"/>
      </t>
    </mdx>
    <mdx n="0" f="m">
      <t c="2">
        <n x="259"/>
        <n x="4"/>
      </t>
    </mdx>
    <mdx n="0" f="m">
      <t c="2">
        <n x="371"/>
        <n x="4"/>
      </t>
    </mdx>
    <mdx n="0" f="m">
      <t c="1">
        <n x="372"/>
      </t>
    </mdx>
    <mdx n="0" f="m">
      <t c="2">
        <n x="263"/>
        <n x="74"/>
      </t>
    </mdx>
    <mdx n="0" f="m">
      <t c="2">
        <n x="373"/>
        <n x="7"/>
      </t>
    </mdx>
    <mdx n="0" f="m">
      <t c="1">
        <n x="374"/>
      </t>
    </mdx>
    <mdx n="0" f="m">
      <t c="2">
        <n x="267"/>
        <n x="63"/>
      </t>
    </mdx>
    <mdx n="0" f="m">
      <t c="2">
        <n x="375"/>
        <n x="85"/>
      </t>
    </mdx>
    <mdx n="0" f="m">
      <t c="1">
        <n x="376"/>
      </t>
    </mdx>
    <mdx n="0" f="m">
      <t c="2">
        <n x="271"/>
        <n x="93"/>
      </t>
    </mdx>
    <mdx n="0" f="m">
      <t c="2">
        <n x="377"/>
        <n x="93"/>
      </t>
    </mdx>
    <mdx n="0" f="m">
      <t c="1">
        <n x="378"/>
      </t>
    </mdx>
    <mdx n="0" f="m">
      <t c="2">
        <n x="379"/>
        <n x="87"/>
      </t>
    </mdx>
    <mdx n="0" f="m">
      <t c="2">
        <n x="380"/>
        <n x="87"/>
      </t>
    </mdx>
    <mdx n="0" f="m">
      <t c="2">
        <n x="381"/>
        <n x="87"/>
      </t>
    </mdx>
    <mdx n="0" f="m">
      <t c="2">
        <n x="382"/>
        <n x="70"/>
      </t>
    </mdx>
    <mdx n="0" f="m">
      <t c="2">
        <n x="383"/>
        <n x="70"/>
      </t>
    </mdx>
    <mdx n="0" f="m">
      <t c="2">
        <n x="384"/>
        <n x="4"/>
      </t>
    </mdx>
    <mdx n="0" f="m">
      <t c="2">
        <n x="385"/>
        <n x="4"/>
      </t>
    </mdx>
    <mdx n="0" f="m">
      <t c="2">
        <n x="386"/>
        <n x="4"/>
      </t>
    </mdx>
    <mdx n="0" f="m">
      <t c="2">
        <n x="387"/>
        <n x="2"/>
      </t>
    </mdx>
    <mdx n="0" f="m">
      <t c="2">
        <n x="388"/>
        <n x="2"/>
      </t>
    </mdx>
    <mdx n="0" f="m">
      <t c="2">
        <n x="389"/>
        <n x="2"/>
      </t>
    </mdx>
    <mdx n="0" f="m">
      <t c="2">
        <n x="390"/>
        <n x="13"/>
      </t>
    </mdx>
    <mdx n="0" f="m">
      <t c="2">
        <n x="391"/>
        <n x="11"/>
      </t>
    </mdx>
    <mdx n="0" f="m">
      <t c="2">
        <n x="392"/>
        <n x="11"/>
      </t>
    </mdx>
    <mdx n="0" f="m">
      <t c="2">
        <n x="393"/>
        <n x="11"/>
      </t>
    </mdx>
    <mdx n="0" f="m">
      <t c="2">
        <n x="394"/>
        <n x="74"/>
      </t>
    </mdx>
    <mdx n="0" f="m">
      <t c="2">
        <n x="395"/>
        <n x="9"/>
      </t>
    </mdx>
    <mdx n="0" f="m">
      <t c="2">
        <n x="396"/>
        <n x="63"/>
      </t>
    </mdx>
    <mdx n="0" f="m">
      <t c="2">
        <n x="397"/>
        <n x="63"/>
      </t>
    </mdx>
    <mdx n="0" f="m">
      <t c="2">
        <n x="398"/>
        <n x="63"/>
      </t>
    </mdx>
    <mdx n="0" f="m">
      <t c="2">
        <n x="399"/>
        <n x="63"/>
      </t>
    </mdx>
    <mdx n="0" f="m">
      <t c="2">
        <n x="400"/>
        <n x="63"/>
      </t>
    </mdx>
    <mdx n="0" f="m">
      <t c="2">
        <n x="401"/>
        <n x="85"/>
      </t>
    </mdx>
    <mdx n="0" f="m">
      <t c="2">
        <n x="402"/>
        <n x="85"/>
      </t>
    </mdx>
    <mdx n="0" f="m">
      <t c="2">
        <n x="403"/>
        <n x="93"/>
      </t>
    </mdx>
    <mdx n="0" f="m">
      <t c="2">
        <n x="404"/>
        <n x="93"/>
      </t>
    </mdx>
    <mdx n="0" f="m">
      <t c="2">
        <n x="405"/>
        <n x="87"/>
      </t>
    </mdx>
    <mdx n="0" f="m">
      <t c="2">
        <n x="406"/>
        <n x="87"/>
      </t>
    </mdx>
    <mdx n="0" f="m">
      <t c="2">
        <n x="407"/>
        <n x="70"/>
      </t>
    </mdx>
    <mdx n="0" f="m">
      <t c="1">
        <n x="408"/>
      </t>
    </mdx>
    <mdx n="0" f="m">
      <t c="2">
        <n x="409"/>
        <n x="4"/>
      </t>
    </mdx>
    <mdx n="0" f="m">
      <t c="1">
        <n x="275"/>
      </t>
    </mdx>
    <mdx n="0" f="m">
      <t c="1">
        <n x="66"/>
      </t>
    </mdx>
    <mdx n="0" f="m">
      <t c="1">
        <n x="277"/>
      </t>
    </mdx>
    <mdx n="0" f="m">
      <t c="2">
        <n x="68"/>
        <n x="70"/>
      </t>
    </mdx>
    <mdx n="0" f="m">
      <t c="2">
        <n x="410"/>
        <n x="70"/>
      </t>
    </mdx>
    <mdx n="0" f="m">
      <t c="2">
        <n x="21"/>
        <n x="4"/>
      </t>
    </mdx>
    <mdx n="0" f="m">
      <t c="1">
        <n x="279"/>
      </t>
    </mdx>
    <mdx n="0" f="m">
      <t c="1">
        <n x="72"/>
      </t>
    </mdx>
    <mdx n="0" f="m">
      <t c="2">
        <n x="411"/>
        <n x="74"/>
      </t>
    </mdx>
    <mdx n="0" f="m">
      <t c="2">
        <n x="28"/>
        <n x="74"/>
      </t>
    </mdx>
    <mdx n="0" f="m">
      <t c="2">
        <n x="30"/>
        <n x="7"/>
      </t>
    </mdx>
    <mdx n="0" f="m">
      <t c="1">
        <n x="281"/>
      </t>
    </mdx>
    <mdx n="0" f="m">
      <t c="2">
        <n x="78"/>
        <n x="63"/>
      </t>
    </mdx>
    <mdx n="0" f="m">
      <t c="2">
        <n x="412"/>
        <n x="2"/>
      </t>
    </mdx>
    <mdx n="0" f="m">
      <t c="2">
        <n x="37"/>
        <n x="11"/>
      </t>
    </mdx>
    <mdx n="0" f="m">
      <t c="1">
        <n x="283"/>
      </t>
    </mdx>
    <mdx n="0" f="m">
      <t c="1">
        <n x="81"/>
      </t>
    </mdx>
    <mdx n="0" f="m">
      <t c="2">
        <n x="413"/>
        <n x="9"/>
      </t>
    </mdx>
    <mdx n="0" f="m">
      <t c="2">
        <n x="44"/>
        <n x="63"/>
      </t>
    </mdx>
    <mdx n="0" f="m">
      <t c="2">
        <n x="46"/>
        <n x="85"/>
      </t>
    </mdx>
    <mdx n="0" f="m">
      <t c="1">
        <n x="285"/>
      </t>
    </mdx>
    <mdx n="0" f="m">
      <t c="2">
        <n x="88"/>
        <n x="93"/>
      </t>
    </mdx>
    <mdx n="0" f="m">
      <t c="2">
        <n x="414"/>
        <n x="2"/>
      </t>
    </mdx>
    <mdx n="0" f="m">
      <t c="2">
        <n x="53"/>
        <n x="13"/>
      </t>
    </mdx>
    <mdx n="0" f="m">
      <t c="1">
        <n x="287"/>
      </t>
    </mdx>
    <mdx n="0" f="m">
      <t c="1">
        <n x="91"/>
      </t>
    </mdx>
    <mdx n="0" f="m">
      <t c="2">
        <n x="415"/>
        <n x="93"/>
      </t>
    </mdx>
    <mdx n="0" f="m">
      <t c="2">
        <n x="60"/>
        <n x="87"/>
      </t>
    </mdx>
    <mdx n="0" f="m">
      <t c="2">
        <n x="416"/>
        <n x="2"/>
      </t>
    </mdx>
    <mdx n="0" f="m">
      <t c="1">
        <n x="289"/>
      </t>
    </mdx>
    <mdx n="0" f="m">
      <t c="2">
        <n x="98"/>
        <n x="93"/>
      </t>
    </mdx>
    <mdx n="0" f="m">
      <t c="2">
        <n x="417"/>
        <n x="74"/>
      </t>
    </mdx>
    <mdx n="0" f="m">
      <t c="1">
        <n x="291"/>
      </t>
    </mdx>
    <mdx n="0" f="m">
      <t c="2">
        <n x="102"/>
        <n x="7"/>
      </t>
    </mdx>
    <mdx n="0" f="m">
      <t c="2">
        <n x="418"/>
        <n x="93"/>
      </t>
    </mdx>
    <mdx n="0" f="m">
      <t c="1">
        <n x="293"/>
      </t>
    </mdx>
    <mdx n="0" f="m">
      <t c="2">
        <n x="106"/>
        <n x="63"/>
      </t>
    </mdx>
    <mdx n="0" f="m">
      <t c="2">
        <n x="419"/>
        <n x="85"/>
      </t>
    </mdx>
    <mdx n="0" f="m">
      <t c="1">
        <n x="295"/>
      </t>
    </mdx>
    <mdx n="0" f="m">
      <t c="2">
        <n x="110"/>
        <n x="93"/>
      </t>
    </mdx>
    <mdx n="0" f="m">
      <t c="2">
        <n x="420"/>
        <n x="87"/>
      </t>
    </mdx>
    <mdx n="0" f="m">
      <t c="1">
        <n x="297"/>
      </t>
    </mdx>
    <mdx n="0" f="m">
      <t c="2">
        <n x="114"/>
        <n x="2"/>
      </t>
    </mdx>
    <mdx n="0" f="m">
      <t c="2">
        <n x="421"/>
        <n x="87"/>
      </t>
    </mdx>
    <mdx n="0" f="m">
      <t c="1">
        <n x="299"/>
      </t>
    </mdx>
    <mdx n="0" f="m">
      <t c="2">
        <n x="118"/>
        <n x="2"/>
      </t>
    </mdx>
    <mdx n="0" f="m">
      <t c="2">
        <n x="422"/>
        <n x="13"/>
      </t>
    </mdx>
    <mdx n="0" f="m">
      <t c="1">
        <n x="301"/>
      </t>
    </mdx>
    <mdx n="0" f="m">
      <t c="2">
        <n x="122"/>
        <n x="11"/>
      </t>
    </mdx>
    <mdx n="0" f="m">
      <t c="2">
        <n x="423"/>
        <n x="11"/>
      </t>
    </mdx>
    <mdx n="0" f="m">
      <t c="1">
        <n x="303"/>
      </t>
    </mdx>
    <mdx n="0" f="m">
      <t c="2">
        <n x="126"/>
        <n x="74"/>
      </t>
    </mdx>
    <mdx n="0" f="m">
      <t c="2">
        <n x="424"/>
        <n x="74"/>
      </t>
    </mdx>
    <mdx n="0" f="m">
      <t c="1">
        <n x="305"/>
      </t>
    </mdx>
    <mdx n="0" f="m">
      <t c="2">
        <n x="130"/>
        <n x="9"/>
      </t>
    </mdx>
    <mdx n="0" f="m">
      <t c="2">
        <n x="425"/>
        <n x="63"/>
      </t>
    </mdx>
    <mdx n="0" f="m">
      <t c="1">
        <n x="307"/>
      </t>
    </mdx>
    <mdx n="0" f="m">
      <t c="2">
        <n x="134"/>
        <n x="85"/>
      </t>
    </mdx>
    <mdx n="0" f="m">
      <t c="2">
        <n x="426"/>
        <n x="93"/>
      </t>
    </mdx>
    <mdx n="0" f="m">
      <t c="1">
        <n x="309"/>
      </t>
    </mdx>
    <mdx n="0" f="m">
      <t c="2">
        <n x="138"/>
        <n x="93"/>
      </t>
    </mdx>
    <mdx n="0" f="m">
      <t c="2">
        <n x="427"/>
        <n x="87"/>
      </t>
    </mdx>
    <mdx n="0" f="m">
      <t c="1">
        <n x="311"/>
      </t>
    </mdx>
    <mdx n="0" f="m">
      <t c="2">
        <n x="142"/>
        <n x="70"/>
      </t>
    </mdx>
    <mdx n="0" f="m">
      <t c="2">
        <n x="428"/>
        <n x="2"/>
      </t>
    </mdx>
    <mdx n="0" f="m">
      <t c="1">
        <n x="313"/>
      </t>
    </mdx>
    <mdx n="0" f="m">
      <t c="2">
        <n x="146"/>
        <n x="13"/>
      </t>
    </mdx>
    <mdx n="0" f="m">
      <t c="2">
        <n x="429"/>
        <n x="4"/>
      </t>
    </mdx>
    <mdx n="0" f="m">
      <t c="1">
        <n x="315"/>
      </t>
    </mdx>
    <mdx n="0" f="m">
      <t c="2">
        <n x="150"/>
        <n x="74"/>
      </t>
    </mdx>
    <mdx n="0" f="m">
      <t c="2">
        <n x="430"/>
        <n x="74"/>
      </t>
    </mdx>
    <mdx n="0" f="m">
      <t c="1">
        <n x="317"/>
      </t>
    </mdx>
    <mdx n="0" f="m">
      <t c="2">
        <n x="154"/>
        <n x="7"/>
      </t>
    </mdx>
    <mdx n="0" f="m">
      <t c="2">
        <n x="431"/>
        <n x="7"/>
      </t>
    </mdx>
    <mdx n="0" f="m">
      <t c="1">
        <n x="319"/>
      </t>
    </mdx>
    <mdx n="0" f="m">
      <t c="2">
        <n x="158"/>
        <n x="63"/>
      </t>
    </mdx>
    <mdx n="0" f="m">
      <t c="2">
        <n x="432"/>
        <n x="63"/>
      </t>
    </mdx>
    <mdx n="0" f="m">
      <t c="1">
        <n x="321"/>
      </t>
    </mdx>
    <mdx n="0" f="m">
      <t c="2">
        <n x="162"/>
        <n x="63"/>
      </t>
    </mdx>
    <mdx n="0" f="m">
      <t c="2">
        <n x="433"/>
        <n x="93"/>
      </t>
    </mdx>
    <mdx n="0" f="m">
      <t c="1">
        <n x="323"/>
      </t>
    </mdx>
    <mdx n="0" f="m">
      <t c="2">
        <n x="166"/>
        <n x="87"/>
      </t>
    </mdx>
    <mdx n="0" f="m">
      <t c="2">
        <n x="434"/>
        <n x="70"/>
      </t>
    </mdx>
    <mdx n="0" f="m">
      <t c="1">
        <n x="325"/>
      </t>
    </mdx>
    <mdx n="0" f="m">
      <t c="2">
        <n x="170"/>
        <n x="13"/>
      </t>
    </mdx>
    <mdx n="0" f="m">
      <t c="2">
        <n x="435"/>
        <n x="13"/>
      </t>
    </mdx>
    <mdx n="0" f="m">
      <t c="1">
        <n x="327"/>
      </t>
    </mdx>
    <mdx n="0" f="m">
      <t c="2">
        <n x="174"/>
        <n x="11"/>
      </t>
    </mdx>
    <mdx n="0" f="m">
      <t c="2">
        <n x="436"/>
        <n x="11"/>
      </t>
    </mdx>
    <mdx n="0" f="m">
      <t c="1">
        <n x="329"/>
      </t>
    </mdx>
    <mdx n="0" f="m">
      <t c="2">
        <n x="178"/>
        <n x="74"/>
      </t>
    </mdx>
    <mdx n="0" f="m">
      <t c="2">
        <n x="437"/>
        <n x="74"/>
      </t>
    </mdx>
    <mdx n="0" f="m">
      <t c="1">
        <n x="331"/>
      </t>
    </mdx>
    <mdx n="0" f="m">
      <t c="2">
        <n x="182"/>
        <n x="85"/>
      </t>
    </mdx>
    <mdx n="0" f="m">
      <t c="2">
        <n x="438"/>
        <n x="93"/>
      </t>
    </mdx>
    <mdx n="0" f="m">
      <t c="1">
        <n x="333"/>
      </t>
    </mdx>
    <mdx n="0" f="m">
      <t c="2">
        <n x="186"/>
        <n x="70"/>
      </t>
    </mdx>
    <mdx n="0" f="m">
      <t c="2">
        <n x="439"/>
        <n x="4"/>
      </t>
    </mdx>
    <mdx n="0" f="m">
      <t c="1">
        <n x="335"/>
      </t>
    </mdx>
    <mdx n="0" f="m">
      <t c="2">
        <n x="190"/>
        <n x="13"/>
      </t>
    </mdx>
    <mdx n="0" f="m">
      <t c="2">
        <n x="440"/>
        <n x="13"/>
      </t>
    </mdx>
    <mdx n="0" f="m">
      <t c="1">
        <n x="337"/>
      </t>
    </mdx>
    <mdx n="0" f="m">
      <t c="2">
        <n x="194"/>
        <n x="11"/>
      </t>
    </mdx>
    <mdx n="0" f="m">
      <t c="2">
        <n x="441"/>
        <n x="74"/>
      </t>
    </mdx>
    <mdx n="0" f="m">
      <t c="1">
        <n x="339"/>
      </t>
    </mdx>
    <mdx n="0" f="m">
      <t c="2">
        <n x="198"/>
        <n x="7"/>
      </t>
    </mdx>
    <mdx n="0" f="m">
      <t c="2">
        <n x="442"/>
        <n x="7"/>
      </t>
    </mdx>
    <mdx n="0" f="m">
      <t c="1">
        <n x="341"/>
      </t>
    </mdx>
    <mdx n="0" f="m">
      <t c="2">
        <n x="202"/>
        <n x="63"/>
      </t>
    </mdx>
    <mdx n="0" f="m">
      <t c="2">
        <n x="443"/>
        <n x="63"/>
      </t>
    </mdx>
    <mdx n="0" f="m">
      <t c="1">
        <n x="343"/>
      </t>
    </mdx>
    <mdx n="0" f="m">
      <t c="2">
        <n x="206"/>
        <n x="85"/>
      </t>
    </mdx>
    <mdx n="0" f="m">
      <t c="2">
        <n x="444"/>
        <n x="93"/>
      </t>
    </mdx>
    <mdx n="0" f="m">
      <t c="1">
        <n x="345"/>
      </t>
    </mdx>
    <mdx n="0" f="m">
      <t c="2">
        <n x="210"/>
        <n x="70"/>
      </t>
    </mdx>
    <mdx n="0" f="m">
      <t c="2">
        <n x="445"/>
        <n x="4"/>
      </t>
    </mdx>
    <mdx n="0" f="m">
      <t c="1">
        <n x="347"/>
      </t>
    </mdx>
    <mdx n="0" f="m">
      <t c="2">
        <n x="214"/>
        <n x="13"/>
      </t>
    </mdx>
    <mdx n="0" f="m">
      <t c="2">
        <n x="446"/>
        <n x="11"/>
      </t>
    </mdx>
    <mdx n="0" f="m">
      <t c="1">
        <n x="349"/>
      </t>
    </mdx>
    <mdx n="0" f="m">
      <t c="2">
        <n x="218"/>
        <n x="11"/>
      </t>
    </mdx>
    <mdx n="0" f="m">
      <t c="2">
        <n x="447"/>
        <n x="74"/>
      </t>
    </mdx>
    <mdx n="0" f="m">
      <t c="1">
        <n x="351"/>
      </t>
    </mdx>
    <mdx n="0" f="m">
      <t c="2">
        <n x="222"/>
        <n x="7"/>
      </t>
    </mdx>
    <mdx n="0" f="m">
      <t c="2">
        <n x="448"/>
        <n x="7"/>
      </t>
    </mdx>
    <mdx n="0" f="m">
      <t c="1">
        <n x="353"/>
      </t>
    </mdx>
    <mdx n="0" f="m">
      <t c="2">
        <n x="226"/>
        <n x="63"/>
      </t>
    </mdx>
    <mdx n="0" f="m">
      <t c="2">
        <n x="449"/>
        <n x="87"/>
      </t>
    </mdx>
    <mdx n="0" f="m">
      <t c="1">
        <n x="355"/>
      </t>
    </mdx>
    <mdx n="0" f="m">
      <t c="2">
        <n x="230"/>
        <n x="2"/>
      </t>
    </mdx>
    <mdx n="0" f="m">
      <t c="2">
        <n x="450"/>
        <n x="2"/>
      </t>
    </mdx>
    <mdx n="0" f="m">
      <t c="1">
        <n x="357"/>
      </t>
    </mdx>
    <mdx n="0" f="m">
      <t c="2">
        <n x="234"/>
        <n x="11"/>
      </t>
    </mdx>
    <mdx n="0" f="m">
      <t c="2">
        <n x="451"/>
        <n x="74"/>
      </t>
    </mdx>
    <mdx n="0" f="m">
      <t c="1">
        <n x="359"/>
      </t>
    </mdx>
    <mdx n="0" f="m">
      <t c="2">
        <n x="238"/>
        <n x="74"/>
      </t>
    </mdx>
    <mdx n="0" f="m">
      <t c="2">
        <n x="452"/>
        <n x="7"/>
      </t>
    </mdx>
    <mdx n="0" f="m">
      <t c="1">
        <n x="361"/>
      </t>
    </mdx>
    <mdx n="0" f="m">
      <t c="2">
        <n x="242"/>
        <n x="9"/>
      </t>
    </mdx>
    <mdx n="0" f="m">
      <t c="2">
        <n x="453"/>
        <n x="85"/>
      </t>
    </mdx>
    <mdx n="0" f="m">
      <t c="1">
        <n x="363"/>
      </t>
    </mdx>
    <mdx n="0" f="m">
      <t c="2">
        <n x="246"/>
        <n x="85"/>
      </t>
    </mdx>
    <mdx n="0" f="m">
      <t c="2">
        <n x="454"/>
        <n x="93"/>
      </t>
    </mdx>
    <mdx n="0" f="m">
      <t c="1">
        <n x="365"/>
      </t>
    </mdx>
    <mdx n="0" f="m">
      <t c="2">
        <n x="250"/>
        <n x="87"/>
      </t>
    </mdx>
    <mdx n="0" f="m">
      <t c="2">
        <n x="455"/>
        <n x="87"/>
      </t>
    </mdx>
    <mdx n="0" f="m">
      <t c="1">
        <n x="367"/>
      </t>
    </mdx>
    <mdx n="0" f="m">
      <t c="2">
        <n x="254"/>
        <n x="87"/>
      </t>
    </mdx>
    <mdx n="0" f="m">
      <t c="2">
        <n x="456"/>
        <n x="70"/>
      </t>
    </mdx>
    <mdx n="0" f="m">
      <t c="1">
        <n x="369"/>
      </t>
    </mdx>
    <mdx n="0" f="m">
      <t c="2">
        <n x="258"/>
        <n x="70"/>
      </t>
    </mdx>
    <mdx n="0" f="m">
      <t c="2">
        <n x="457"/>
        <n x="4"/>
      </t>
    </mdx>
    <mdx n="0" f="m">
      <t c="1">
        <n x="371"/>
      </t>
    </mdx>
    <mdx n="0" f="m">
      <t c="2">
        <n x="262"/>
        <n x="4"/>
      </t>
    </mdx>
    <mdx n="0" f="m">
      <t c="2">
        <n x="458"/>
        <n x="74"/>
      </t>
    </mdx>
    <mdx n="0" f="m">
      <t c="1">
        <n x="373"/>
      </t>
    </mdx>
    <mdx n="0" f="m">
      <t c="2">
        <n x="266"/>
        <n x="63"/>
      </t>
    </mdx>
    <mdx n="0" f="m">
      <t c="2">
        <n x="459"/>
        <n x="85"/>
      </t>
    </mdx>
    <mdx n="0" f="m">
      <t c="1">
        <n x="375"/>
      </t>
    </mdx>
    <mdx n="0" f="m">
      <t c="2">
        <n x="270"/>
        <n x="85"/>
      </t>
    </mdx>
    <mdx n="0" f="m">
      <t c="2">
        <n x="460"/>
        <n x="93"/>
      </t>
    </mdx>
    <mdx n="0" f="m">
      <t c="1">
        <n x="377"/>
      </t>
    </mdx>
    <mdx n="0" f="m">
      <t c="2">
        <n x="274"/>
        <n x="93"/>
      </t>
    </mdx>
    <mdx n="0" f="m">
      <t c="1">
        <n x="379"/>
      </t>
    </mdx>
    <mdx n="0" f="m">
      <t c="1">
        <n x="380"/>
      </t>
    </mdx>
    <mdx n="0" f="m">
      <t c="1">
        <n x="381"/>
      </t>
    </mdx>
    <mdx n="0" f="m">
      <t c="1">
        <n x="382"/>
      </t>
    </mdx>
    <mdx n="0" f="m">
      <t c="1">
        <n x="383"/>
      </t>
    </mdx>
    <mdx n="0" f="m">
      <t c="1">
        <n x="384"/>
      </t>
    </mdx>
    <mdx n="0" f="m">
      <t c="1">
        <n x="385"/>
      </t>
    </mdx>
    <mdx n="0" f="m">
      <t c="1">
        <n x="386"/>
      </t>
    </mdx>
    <mdx n="0" f="m">
      <t c="1">
        <n x="387"/>
      </t>
    </mdx>
    <mdx n="0" f="m">
      <t c="1">
        <n x="388"/>
      </t>
    </mdx>
    <mdx n="0" f="m">
      <t c="1">
        <n x="389"/>
      </t>
    </mdx>
    <mdx n="0" f="m">
      <t c="1">
        <n x="390"/>
      </t>
    </mdx>
    <mdx n="0" f="m">
      <t c="1">
        <n x="391"/>
      </t>
    </mdx>
    <mdx n="0" f="m">
      <t c="1">
        <n x="392"/>
      </t>
    </mdx>
    <mdx n="0" f="m">
      <t c="1">
        <n x="393"/>
      </t>
    </mdx>
    <mdx n="0" f="m">
      <t c="1">
        <n x="394"/>
      </t>
    </mdx>
    <mdx n="0" f="m">
      <t c="1">
        <n x="395"/>
      </t>
    </mdx>
    <mdx n="0" f="m">
      <t c="1">
        <n x="396"/>
      </t>
    </mdx>
    <mdx n="0" f="m">
      <t c="1">
        <n x="397"/>
      </t>
    </mdx>
    <mdx n="0" f="m">
      <t c="1">
        <n x="398"/>
      </t>
    </mdx>
    <mdx n="0" f="m">
      <t c="1">
        <n x="399"/>
      </t>
    </mdx>
    <mdx n="0" f="m">
      <t c="1">
        <n x="400"/>
      </t>
    </mdx>
    <mdx n="0" f="m">
      <t c="1">
        <n x="401"/>
      </t>
    </mdx>
    <mdx n="0" f="m">
      <t c="1">
        <n x="402"/>
      </t>
    </mdx>
    <mdx n="0" f="m">
      <t c="1">
        <n x="403"/>
      </t>
    </mdx>
    <mdx n="0" f="m">
      <t c="1">
        <n x="404"/>
      </t>
    </mdx>
    <mdx n="0" f="m">
      <t c="1">
        <n x="405"/>
      </t>
    </mdx>
    <mdx n="0" f="m">
      <t c="1">
        <n x="406"/>
      </t>
    </mdx>
    <mdx n="0" f="m">
      <t c="1">
        <n x="407"/>
      </t>
    </mdx>
    <mdx n="0" f="m">
      <t c="1">
        <n x="409"/>
      </t>
    </mdx>
    <mdx n="0" f="m">
      <t c="1">
        <n x="65"/>
      </t>
    </mdx>
    <mdx n="0" f="m">
      <t c="2">
        <n x="461"/>
        <n x="13"/>
      </t>
    </mdx>
    <mdx n="0" f="m">
      <t c="2">
        <n x="16"/>
        <n x="70"/>
      </t>
    </mdx>
    <mdx n="0" f="m">
      <t c="2">
        <n x="18"/>
        <n x="13"/>
      </t>
    </mdx>
    <mdx n="0" f="m">
      <t c="1">
        <n x="410"/>
      </t>
    </mdx>
    <mdx n="0" f="m">
      <t c="2">
        <n x="71"/>
        <n x="4"/>
      </t>
    </mdx>
    <mdx n="0" f="m">
      <t c="2">
        <n x="462"/>
        <n x="4"/>
      </t>
    </mdx>
    <mdx n="0" f="m">
      <t c="2">
        <n x="25"/>
        <n x="13"/>
      </t>
    </mdx>
    <mdx n="0" f="m">
      <t c="1">
        <n x="411"/>
      </t>
    </mdx>
    <mdx n="0" f="m">
      <t c="1">
        <n x="75"/>
      </t>
    </mdx>
    <mdx n="0" f="m">
      <t c="2">
        <n x="463"/>
        <n x="9"/>
      </t>
    </mdx>
    <mdx n="0" f="m">
      <t c="2">
        <n x="32"/>
        <n x="9"/>
      </t>
    </mdx>
    <mdx n="0" f="m">
      <t c="2">
        <n x="34"/>
        <n x="63"/>
      </t>
    </mdx>
    <mdx n="0" f="m">
      <t c="1">
        <n x="412"/>
      </t>
    </mdx>
    <mdx n="0" f="m">
      <t c="2">
        <n x="80"/>
        <n x="11"/>
      </t>
    </mdx>
    <mdx n="0" f="m">
      <t c="2">
        <n x="464"/>
        <n x="74"/>
      </t>
    </mdx>
    <mdx n="0" f="m">
      <t c="2">
        <n x="41"/>
        <n x="7"/>
      </t>
    </mdx>
    <mdx n="0" f="m">
      <t c="1">
        <n x="413"/>
      </t>
    </mdx>
    <mdx n="0" f="m">
      <t c="1">
        <n x="83"/>
      </t>
    </mdx>
    <mdx n="0" f="m">
      <t c="2">
        <n x="465"/>
        <n x="85"/>
      </t>
    </mdx>
    <mdx n="0" f="m">
      <t c="2">
        <n x="48"/>
        <n x="93"/>
      </t>
    </mdx>
    <mdx n="0" f="m">
      <t c="2">
        <n x="50"/>
        <n x="2"/>
      </t>
    </mdx>
    <mdx n="0" f="m">
      <t c="1">
        <n x="414"/>
      </t>
    </mdx>
    <mdx n="0" f="m">
      <t c="2">
        <n x="90"/>
        <n x="93"/>
      </t>
    </mdx>
    <mdx n="0" f="m">
      <t c="2">
        <n x="466"/>
        <n x="74"/>
      </t>
    </mdx>
    <mdx n="0" f="m">
      <t c="2">
        <n x="57"/>
        <n x="9"/>
      </t>
    </mdx>
    <mdx n="0" f="m">
      <t c="1">
        <n x="415"/>
      </t>
    </mdx>
    <mdx n="0" f="m">
      <t c="1">
        <n x="94"/>
      </t>
    </mdx>
    <mdx n="0" f="m">
      <t c="1">
        <n x="416"/>
      </t>
    </mdx>
    <mdx n="0" f="m">
      <t c="2">
        <n x="97"/>
        <n x="11"/>
      </t>
    </mdx>
    <mdx n="0" f="m">
      <t c="2">
        <n x="467"/>
        <n x="11"/>
      </t>
    </mdx>
    <mdx n="0" f="m">
      <t c="1">
        <n x="417"/>
      </t>
    </mdx>
    <mdx n="0" f="m">
      <t c="2">
        <n x="101"/>
        <n x="74"/>
      </t>
    </mdx>
    <mdx n="0" f="m">
      <t c="2">
        <n x="468"/>
        <n x="7"/>
      </t>
    </mdx>
    <mdx n="0" f="m">
      <t c="1">
        <n x="418"/>
      </t>
    </mdx>
    <mdx n="0" f="m">
      <t c="2">
        <n x="105"/>
        <n x="63"/>
      </t>
    </mdx>
    <mdx n="0" f="m">
      <t c="2">
        <n x="469"/>
        <n x="63"/>
      </t>
    </mdx>
    <mdx n="0" f="m">
      <t c="1">
        <n x="419"/>
      </t>
    </mdx>
    <mdx n="0" f="m">
      <t c="2">
        <n x="109"/>
        <n x="93"/>
      </t>
    </mdx>
    <mdx n="0" f="m">
      <t c="2">
        <n x="276"/>
        <n x="70"/>
      </t>
    </mdx>
    <mdx n="0" f="m">
      <t c="2">
        <n x="20"/>
        <n x="70"/>
      </t>
    </mdx>
    <mdx n="0" f="m">
      <t c="2">
        <n x="280"/>
        <n x="74"/>
      </t>
    </mdx>
    <mdx n="0" f="m">
      <t c="2">
        <n x="282"/>
        <n x="63"/>
      </t>
    </mdx>
    <mdx n="0" f="m">
      <t c="2">
        <n x="82"/>
        <n x="63"/>
      </t>
    </mdx>
    <mdx n="0" f="m">
      <t c="1">
        <n x="86"/>
      </t>
    </mdx>
    <mdx n="0" f="m">
      <t c="1">
        <n x="466"/>
      </t>
    </mdx>
    <mdx n="0" f="m">
      <t c="2">
        <n x="96"/>
        <n x="13"/>
      </t>
    </mdx>
    <mdx n="0" f="m">
      <t c="2">
        <n x="292"/>
        <n x="7"/>
      </t>
    </mdx>
    <mdx n="0" f="m">
      <t c="1">
        <n x="469"/>
      </t>
    </mdx>
    <mdx n="0" f="m">
      <t c="1">
        <n x="470"/>
      </t>
    </mdx>
    <mdx n="0" f="m">
      <t c="2">
        <n x="298"/>
        <n x="87"/>
      </t>
    </mdx>
    <mdx n="0" f="m">
      <t c="2">
        <n x="116"/>
        <n x="2"/>
      </t>
    </mdx>
    <mdx n="0" f="m">
      <t c="1">
        <n x="471"/>
      </t>
    </mdx>
    <mdx n="0" f="m">
      <t c="2">
        <n x="302"/>
        <n x="13"/>
      </t>
    </mdx>
    <mdx n="0" f="m">
      <t c="2">
        <n x="124"/>
        <n x="11"/>
      </t>
    </mdx>
    <mdx n="0" f="m">
      <t c="1">
        <n x="472"/>
      </t>
    </mdx>
    <mdx n="0" f="m">
      <t c="2">
        <n x="306"/>
        <n x="9"/>
      </t>
    </mdx>
    <mdx n="0" f="m">
      <t c="2">
        <n x="132"/>
        <n x="70"/>
      </t>
    </mdx>
    <mdx n="0" f="m">
      <t c="1">
        <n x="473"/>
      </t>
    </mdx>
    <mdx n="0" f="m">
      <t c="2">
        <n x="310"/>
        <n x="70"/>
      </t>
    </mdx>
    <mdx n="0" f="m">
      <t c="2">
        <n x="140"/>
        <n x="87"/>
      </t>
    </mdx>
    <mdx n="0" f="m">
      <t c="1">
        <n x="474"/>
      </t>
    </mdx>
    <mdx n="0" f="m">
      <t c="2">
        <n x="314"/>
        <n x="13"/>
      </t>
    </mdx>
    <mdx n="0" f="m">
      <t c="2">
        <n x="148"/>
        <n x="11"/>
      </t>
    </mdx>
    <mdx n="0" f="m">
      <t c="1">
        <n x="475"/>
      </t>
    </mdx>
    <mdx n="0" f="m">
      <t c="2">
        <n x="318"/>
        <n x="7"/>
      </t>
    </mdx>
    <mdx n="0" f="m">
      <t c="2">
        <n x="156"/>
        <n x="7"/>
      </t>
    </mdx>
    <mdx n="0" f="m">
      <t c="1">
        <n x="476"/>
      </t>
    </mdx>
    <mdx n="0" f="m">
      <t c="2">
        <n x="322"/>
        <n x="63"/>
      </t>
    </mdx>
    <mdx n="0" f="m">
      <t c="2">
        <n x="164"/>
        <n x="93"/>
      </t>
    </mdx>
    <mdx n="0" f="m">
      <t c="1">
        <n x="477"/>
      </t>
    </mdx>
    <mdx n="0" f="m">
      <t c="2">
        <n x="326"/>
        <n x="4"/>
      </t>
    </mdx>
    <mdx n="0" f="m">
      <t c="2">
        <n x="172"/>
        <n x="13"/>
      </t>
    </mdx>
    <mdx n="0" f="m">
      <t c="1">
        <n x="478"/>
      </t>
    </mdx>
    <mdx n="0" f="m">
      <t c="2">
        <n x="330"/>
        <n x="74"/>
      </t>
    </mdx>
    <mdx n="0" f="m">
      <t c="2">
        <n x="180"/>
        <n x="7"/>
      </t>
    </mdx>
    <mdx n="0" f="m">
      <t c="1">
        <n x="479"/>
      </t>
    </mdx>
    <mdx n="0" f="m">
      <t c="2">
        <n x="334"/>
        <n x="70"/>
      </t>
    </mdx>
    <mdx n="0" f="m">
      <t c="2">
        <n x="188"/>
        <n x="2"/>
      </t>
    </mdx>
    <mdx n="0" f="m">
      <t c="1">
        <n x="480"/>
      </t>
    </mdx>
    <mdx n="0" f="m">
      <t c="2">
        <n x="338"/>
        <n x="11"/>
      </t>
    </mdx>
    <mdx n="0" f="m">
      <t c="2">
        <n x="196"/>
        <n x="74"/>
      </t>
    </mdx>
    <mdx n="0" f="m">
      <t c="1">
        <n x="481"/>
      </t>
    </mdx>
    <mdx n="0" f="m">
      <t c="2">
        <n x="342"/>
        <n x="9"/>
      </t>
    </mdx>
    <mdx n="0" f="m">
      <t c="2">
        <n x="204"/>
        <n x="63"/>
      </t>
    </mdx>
    <mdx n="0" f="m">
      <t c="1">
        <n x="482"/>
      </t>
    </mdx>
    <mdx n="0" f="m">
      <t c="2">
        <n x="346"/>
        <n x="70"/>
      </t>
    </mdx>
    <mdx n="0" f="m">
      <t c="2">
        <n x="212"/>
        <n x="4"/>
      </t>
    </mdx>
    <mdx n="0" f="m">
      <t c="1">
        <n x="483"/>
      </t>
    </mdx>
    <mdx n="0" f="m">
      <t c="2">
        <n x="350"/>
        <n x="11"/>
      </t>
    </mdx>
    <mdx n="0" f="m">
      <t c="2">
        <n x="220"/>
        <n x="74"/>
      </t>
    </mdx>
    <mdx n="0" f="m">
      <t c="1">
        <n x="484"/>
      </t>
    </mdx>
    <mdx n="0" f="m">
      <t c="2">
        <n x="354"/>
        <n x="9"/>
      </t>
    </mdx>
    <mdx n="0" f="m">
      <t c="2">
        <n x="228"/>
        <n x="87"/>
      </t>
    </mdx>
    <mdx n="0" f="m">
      <t c="1">
        <n x="485"/>
      </t>
    </mdx>
    <mdx n="0" f="m">
      <t c="2">
        <n x="358"/>
        <n x="13"/>
      </t>
    </mdx>
    <mdx n="0" f="m">
      <t c="2">
        <n x="236"/>
        <n x="74"/>
      </t>
    </mdx>
    <mdx n="0" f="m">
      <t c="1">
        <n x="486"/>
      </t>
    </mdx>
    <mdx n="0" f="m">
      <t c="2">
        <n x="362"/>
        <n x="9"/>
      </t>
    </mdx>
    <mdx n="0" f="m">
      <t c="2">
        <n x="244"/>
        <n x="85"/>
      </t>
    </mdx>
    <mdx n="0" f="m">
      <t c="1">
        <n x="487"/>
      </t>
    </mdx>
    <mdx n="0" f="m">
      <t c="2">
        <n x="366"/>
        <n x="87"/>
      </t>
    </mdx>
    <mdx n="0" f="m">
      <t c="2">
        <n x="252"/>
        <n x="87"/>
      </t>
    </mdx>
    <mdx n="0" f="m">
      <t c="1">
        <n x="488"/>
      </t>
    </mdx>
    <mdx n="0" f="m">
      <t c="2">
        <n x="370"/>
        <n x="70"/>
      </t>
    </mdx>
    <mdx n="0" f="m">
      <t c="2">
        <n x="260"/>
        <n x="4"/>
      </t>
    </mdx>
    <mdx n="0" f="m">
      <t c="1">
        <n x="489"/>
      </t>
    </mdx>
    <mdx n="0" f="m">
      <t c="2">
        <n x="374"/>
        <n x="63"/>
      </t>
    </mdx>
    <mdx n="0" f="m">
      <t c="2">
        <n x="268"/>
        <n x="85"/>
      </t>
    </mdx>
    <mdx n="0" f="m">
      <t c="1">
        <n x="490"/>
      </t>
    </mdx>
    <mdx n="0" f="m">
      <t c="2">
        <n x="378"/>
        <n x="93"/>
      </t>
    </mdx>
    <mdx n="0" f="m">
      <t c="1">
        <n x="491"/>
      </t>
    </mdx>
    <mdx n="0" f="m">
      <t c="1">
        <n x="492"/>
      </t>
    </mdx>
    <mdx n="0" f="m">
      <t c="1">
        <n x="493"/>
      </t>
    </mdx>
    <mdx n="0" f="m">
      <t c="1">
        <n x="494"/>
      </t>
    </mdx>
    <mdx n="0" f="m">
      <t c="1">
        <n x="495"/>
      </t>
    </mdx>
    <mdx n="0" f="m">
      <t c="1">
        <n x="496"/>
      </t>
    </mdx>
    <mdx n="0" f="m">
      <t c="1">
        <n x="497"/>
      </t>
    </mdx>
    <mdx n="0" f="m">
      <t c="1">
        <n x="498"/>
      </t>
    </mdx>
    <mdx n="0" f="m">
      <t c="1">
        <n x="499"/>
      </t>
    </mdx>
    <mdx n="0" f="m">
      <t c="1">
        <n x="500"/>
      </t>
    </mdx>
    <mdx n="0" f="m">
      <t c="1">
        <n x="501"/>
      </t>
    </mdx>
    <mdx n="0" f="m">
      <t c="1">
        <n x="502"/>
      </t>
    </mdx>
    <mdx n="0" f="m">
      <t c="1">
        <n x="503"/>
      </t>
    </mdx>
    <mdx n="0" f="m">
      <t c="1">
        <n x="504"/>
      </t>
    </mdx>
    <mdx n="0" f="m">
      <t c="1">
        <n x="505"/>
      </t>
    </mdx>
    <mdx n="0" f="m">
      <t c="1">
        <n x="461"/>
      </t>
    </mdx>
    <mdx n="0" f="m">
      <t c="2">
        <n x="22"/>
        <n x="4"/>
      </t>
    </mdx>
    <mdx n="0" f="m">
      <t c="2">
        <n x="29"/>
        <n x="74"/>
      </t>
    </mdx>
    <mdx n="0" f="m">
      <t c="2">
        <n x="36"/>
        <n x="63"/>
      </t>
    </mdx>
    <mdx n="0" f="m">
      <t c="2">
        <n x="284"/>
        <n x="63"/>
      </t>
    </mdx>
    <mdx n="0" f="m">
      <t c="2">
        <n x="286"/>
        <n x="2"/>
      </t>
    </mdx>
    <mdx n="0" f="m">
      <t c="2">
        <n x="92"/>
        <n x="63"/>
      </t>
    </mdx>
    <mdx n="0" f="m">
      <t c="2">
        <n x="290"/>
        <n x="11"/>
      </t>
    </mdx>
    <mdx n="0" f="m">
      <t c="1">
        <n x="468"/>
      </t>
    </mdx>
    <mdx n="0" f="m">
      <t c="2">
        <n x="108"/>
        <n x="85"/>
      </t>
    </mdx>
    <mdx n="0" f="m">
      <t c="1">
        <n x="420"/>
      </t>
    </mdx>
    <mdx n="0" f="m">
      <t c="2">
        <n x="506"/>
        <n x="2"/>
      </t>
    </mdx>
    <mdx n="0" f="m">
      <t c="2">
        <n x="117"/>
        <n x="2"/>
      </t>
    </mdx>
    <mdx n="0" f="m">
      <t c="1">
        <n x="422"/>
      </t>
    </mdx>
    <mdx n="0" f="m">
      <t c="2">
        <n x="507"/>
        <n x="11"/>
      </t>
    </mdx>
    <mdx n="0" f="m">
      <t c="2">
        <n x="125"/>
        <n x="74"/>
      </t>
    </mdx>
    <mdx n="0" f="m">
      <t c="1">
        <n x="424"/>
      </t>
    </mdx>
    <mdx n="0" f="m">
      <t c="2">
        <n x="508"/>
        <n x="9"/>
      </t>
    </mdx>
    <mdx n="0" f="m">
      <t c="2">
        <n x="133"/>
        <n x="63"/>
      </t>
    </mdx>
    <mdx n="0" f="m">
      <t c="1">
        <n x="426"/>
      </t>
    </mdx>
    <mdx n="0" f="m">
      <t c="2">
        <n x="509"/>
        <n x="87"/>
      </t>
    </mdx>
    <mdx n="0" f="m">
      <t c="2">
        <n x="141"/>
        <n x="70"/>
      </t>
    </mdx>
    <mdx n="0" f="m">
      <t c="1">
        <n x="428"/>
      </t>
    </mdx>
    <mdx n="0" f="m">
      <t c="2">
        <n x="510"/>
        <n x="13"/>
      </t>
    </mdx>
    <mdx n="0" f="m">
      <t c="2">
        <n x="149"/>
        <n x="11"/>
      </t>
    </mdx>
    <mdx n="0" f="m">
      <t c="1">
        <n x="430"/>
      </t>
    </mdx>
    <mdx n="0" f="m">
      <t c="2">
        <n x="511"/>
        <n x="7"/>
      </t>
    </mdx>
    <mdx n="0" f="m">
      <t c="2">
        <n x="157"/>
        <n x="9"/>
      </t>
    </mdx>
    <mdx n="0" f="m">
      <t c="1">
        <n x="432"/>
      </t>
    </mdx>
    <mdx n="0" f="m">
      <t c="2">
        <n x="512"/>
        <n x="85"/>
      </t>
    </mdx>
    <mdx n="0" f="m">
      <t c="2">
        <n x="165"/>
        <n x="93"/>
      </t>
    </mdx>
    <mdx n="0" f="m">
      <t c="1">
        <n x="434"/>
      </t>
    </mdx>
    <mdx n="0" f="m">
      <t c="2">
        <n x="513"/>
        <n x="13"/>
      </t>
    </mdx>
    <mdx n="0" f="m">
      <t c="2">
        <n x="173"/>
        <n x="11"/>
      </t>
    </mdx>
    <mdx n="0" f="m">
      <t c="1">
        <n x="436"/>
      </t>
    </mdx>
    <mdx n="0" f="m">
      <t c="2">
        <n x="514"/>
        <n x="74"/>
      </t>
    </mdx>
    <mdx n="0" f="m">
      <t c="2">
        <n x="181"/>
        <n x="9"/>
      </t>
    </mdx>
    <mdx n="0" f="m">
      <t c="1">
        <n x="438"/>
      </t>
    </mdx>
    <mdx n="0" f="m">
      <t c="2">
        <n x="515"/>
        <n x="70"/>
      </t>
    </mdx>
    <mdx n="0" f="m">
      <t c="2">
        <n x="189"/>
        <n x="2"/>
      </t>
    </mdx>
    <mdx n="0" f="m">
      <t c="1">
        <n x="440"/>
      </t>
    </mdx>
    <mdx n="0" f="m">
      <t c="2">
        <n x="516"/>
        <n x="11"/>
      </t>
    </mdx>
    <mdx n="0" f="m">
      <t c="2">
        <n x="197"/>
        <n x="74"/>
      </t>
    </mdx>
    <mdx n="0" f="m">
      <t c="1">
        <n x="442"/>
      </t>
    </mdx>
    <mdx n="0" f="m">
      <t c="2">
        <n x="517"/>
        <n x="63"/>
      </t>
    </mdx>
    <mdx n="0" f="m">
      <t c="2">
        <n x="205"/>
        <n x="85"/>
      </t>
    </mdx>
    <mdx n="0" f="m">
      <t c="1">
        <n x="444"/>
      </t>
    </mdx>
    <mdx n="0" f="m">
      <t c="2">
        <n x="518"/>
        <n x="70"/>
      </t>
    </mdx>
    <mdx n="0" f="m">
      <t c="2">
        <n x="213"/>
        <n x="2"/>
      </t>
    </mdx>
    <mdx n="0" f="m">
      <t c="1">
        <n x="446"/>
      </t>
    </mdx>
    <mdx n="0" f="m">
      <t c="2">
        <n x="519"/>
        <n x="11"/>
      </t>
    </mdx>
    <mdx n="0" f="m">
      <t c="2">
        <n x="221"/>
        <n x="74"/>
      </t>
    </mdx>
    <mdx n="0" f="m">
      <t c="1">
        <n x="448"/>
      </t>
    </mdx>
    <mdx n="0" f="m">
      <t c="2">
        <n x="520"/>
        <n x="85"/>
      </t>
    </mdx>
    <mdx n="0" f="m">
      <t c="2">
        <n x="229"/>
        <n x="70"/>
      </t>
    </mdx>
    <mdx n="0" f="m">
      <t c="1">
        <n x="450"/>
      </t>
    </mdx>
    <mdx n="0" f="m">
      <t c="2">
        <n x="521"/>
        <n x="11"/>
      </t>
    </mdx>
    <mdx n="0" f="m">
      <t c="2">
        <n x="237"/>
        <n x="74"/>
      </t>
    </mdx>
    <mdx n="0" f="m">
      <t c="1">
        <n x="452"/>
      </t>
    </mdx>
    <mdx n="0" f="m">
      <t c="2">
        <n x="522"/>
        <n x="63"/>
      </t>
    </mdx>
    <mdx n="0" f="m">
      <t c="2">
        <n x="245"/>
        <n x="85"/>
      </t>
    </mdx>
    <mdx n="0" f="m">
      <t c="1">
        <n x="454"/>
      </t>
    </mdx>
    <mdx n="0" f="m">
      <t c="2">
        <n x="523"/>
        <n x="87"/>
      </t>
    </mdx>
    <mdx n="0" f="m">
      <t c="2">
        <n x="253"/>
        <n x="87"/>
      </t>
    </mdx>
    <mdx n="0" f="m">
      <t c="1">
        <n x="456"/>
      </t>
    </mdx>
    <mdx n="0" f="m">
      <t c="2">
        <n x="524"/>
        <n x="70"/>
      </t>
    </mdx>
    <mdx n="0" f="m">
      <t c="2">
        <n x="261"/>
        <n x="4"/>
      </t>
    </mdx>
    <mdx n="0" f="m">
      <t c="1">
        <n x="458"/>
      </t>
    </mdx>
    <mdx n="0" f="m">
      <t c="2">
        <n x="525"/>
        <n x="63"/>
      </t>
    </mdx>
    <mdx n="0" f="m">
      <t c="2">
        <n x="269"/>
        <n x="85"/>
      </t>
    </mdx>
    <mdx n="0" f="m">
      <t c="1">
        <n x="460"/>
      </t>
    </mdx>
    <mdx n="0" f="m">
      <t c="2">
        <n x="526"/>
        <n x="87"/>
      </t>
    </mdx>
    <mdx n="0" f="m">
      <t c="2">
        <n x="527"/>
        <n x="87"/>
      </t>
    </mdx>
    <mdx n="0" f="m">
      <t c="2">
        <n x="528"/>
        <n x="70"/>
      </t>
    </mdx>
    <mdx n="0" f="m">
      <t c="2">
        <n x="529"/>
        <n x="4"/>
      </t>
    </mdx>
    <mdx n="0" f="m">
      <t c="2">
        <n x="530"/>
        <n x="2"/>
      </t>
    </mdx>
    <mdx n="0" f="m">
      <t c="2">
        <n x="531"/>
        <n x="2"/>
      </t>
    </mdx>
    <mdx n="0" f="m">
      <t c="2">
        <n x="532"/>
        <n x="11"/>
      </t>
    </mdx>
    <mdx n="0" f="m">
      <t c="2">
        <n x="533"/>
        <n x="11"/>
      </t>
    </mdx>
    <mdx n="0" f="m">
      <t c="2">
        <n x="534"/>
        <n x="7"/>
      </t>
    </mdx>
    <mdx n="0" f="m">
      <t c="2">
        <n x="535"/>
        <n x="63"/>
      </t>
    </mdx>
    <mdx n="0" f="m">
      <t c="2">
        <n x="536"/>
        <n x="63"/>
      </t>
    </mdx>
    <mdx n="0" f="m">
      <t c="2">
        <n x="537"/>
        <n x="85"/>
      </t>
    </mdx>
    <mdx n="0" f="m">
      <t c="2">
        <n x="538"/>
        <n x="85"/>
      </t>
    </mdx>
    <mdx n="0" f="m">
      <t c="2">
        <n x="539"/>
        <n x="93"/>
      </t>
    </mdx>
    <mdx n="0" f="m">
      <t c="2">
        <n x="540"/>
        <n x="87"/>
      </t>
    </mdx>
    <mdx n="0" f="m">
      <t c="1">
        <n x="67"/>
      </t>
    </mdx>
    <mdx n="0" f="m">
      <t c="1">
        <n x="462"/>
      </t>
    </mdx>
    <mdx n="0" f="m">
      <t c="1">
        <n x="463"/>
      </t>
    </mdx>
    <mdx n="0" f="m">
      <t c="2">
        <n x="38"/>
        <n x="11"/>
      </t>
    </mdx>
    <mdx n="0" f="m">
      <t c="2">
        <n x="45"/>
        <n x="85"/>
      </t>
    </mdx>
    <mdx n="0" f="m">
      <t c="2">
        <n x="52"/>
        <n x="2"/>
      </t>
    </mdx>
    <mdx n="0" f="m">
      <t c="2">
        <n x="288"/>
        <n x="87"/>
      </t>
    </mdx>
    <mdx n="0" f="m">
      <t c="1">
        <n x="467"/>
      </t>
    </mdx>
    <mdx n="0" f="m">
      <t c="2">
        <n x="104"/>
        <n x="7"/>
      </t>
    </mdx>
    <mdx n="0" f="m">
      <t c="2">
        <n x="296"/>
        <n x="93"/>
      </t>
    </mdx>
    <mdx n="0" f="m">
      <t c="2">
        <n x="112"/>
        <n x="70"/>
      </t>
    </mdx>
    <mdx n="0" f="m">
      <t c="1">
        <n x="506"/>
      </t>
    </mdx>
    <mdx n="0" f="m">
      <t c="2">
        <n x="300"/>
        <n x="2"/>
      </t>
    </mdx>
    <mdx n="0" f="m">
      <t c="2">
        <n x="120"/>
        <n x="13"/>
      </t>
    </mdx>
    <mdx n="0" f="m">
      <t c="1">
        <n x="507"/>
      </t>
    </mdx>
    <mdx n="0" f="m">
      <t c="2">
        <n x="304"/>
        <n x="74"/>
      </t>
    </mdx>
    <mdx n="0" f="m">
      <t c="2">
        <n x="128"/>
        <n x="7"/>
      </t>
    </mdx>
    <mdx n="0" f="m">
      <t c="1">
        <n x="508"/>
      </t>
    </mdx>
    <mdx n="0" f="m">
      <t c="2">
        <n x="308"/>
        <n x="85"/>
      </t>
    </mdx>
    <mdx n="0" f="m">
      <t c="2">
        <n x="136"/>
        <n x="93"/>
      </t>
    </mdx>
    <mdx n="0" f="m">
      <t c="1">
        <n x="509"/>
      </t>
    </mdx>
    <mdx n="0" f="m">
      <t c="2">
        <n x="312"/>
        <n x="70"/>
      </t>
    </mdx>
    <mdx n="0" f="m">
      <t c="2">
        <n x="144"/>
        <n x="13"/>
      </t>
    </mdx>
    <mdx n="0" f="m">
      <t c="1">
        <n x="510"/>
      </t>
    </mdx>
    <mdx n="0" f="m">
      <t c="2">
        <n x="316"/>
        <n x="11"/>
      </t>
    </mdx>
    <mdx n="0" f="m">
      <t c="2">
        <n x="152"/>
        <n x="74"/>
      </t>
    </mdx>
    <mdx n="0" f="m">
      <t c="1">
        <n x="511"/>
      </t>
    </mdx>
    <mdx n="0" f="m">
      <t c="2">
        <n x="320"/>
        <n x="9"/>
      </t>
    </mdx>
    <mdx n="0" f="m">
      <t c="2">
        <n x="160"/>
        <n x="63"/>
      </t>
    </mdx>
    <mdx n="0" f="m">
      <t c="1">
        <n x="512"/>
      </t>
    </mdx>
    <mdx n="0" f="m">
      <t c="2">
        <n x="324"/>
        <n x="93"/>
      </t>
    </mdx>
    <mdx n="0" f="m">
      <t c="2">
        <n x="168"/>
        <n x="70"/>
      </t>
    </mdx>
    <mdx n="0" f="m">
      <t c="1">
        <n x="513"/>
      </t>
    </mdx>
    <mdx n="0" f="m">
      <t c="2">
        <n x="328"/>
        <n x="11"/>
      </t>
    </mdx>
    <mdx n="0" f="m">
      <t c="2">
        <n x="176"/>
        <n x="11"/>
      </t>
    </mdx>
    <mdx n="0" f="m">
      <t c="1">
        <n x="514"/>
      </t>
    </mdx>
    <mdx n="0" f="m">
      <t c="2">
        <n x="332"/>
        <n x="9"/>
      </t>
    </mdx>
    <mdx n="0" f="m">
      <t c="2">
        <n x="184"/>
        <n x="93"/>
      </t>
    </mdx>
    <mdx n="0" f="m">
      <t c="1">
        <n x="515"/>
      </t>
    </mdx>
    <mdx n="0" f="m">
      <t c="2">
        <n x="336"/>
        <n x="13"/>
      </t>
    </mdx>
    <mdx n="0" f="m">
      <t c="2">
        <n x="192"/>
        <n x="13"/>
      </t>
    </mdx>
    <mdx n="0" f="m">
      <t c="1">
        <n x="516"/>
      </t>
    </mdx>
    <mdx n="0" f="m">
      <t c="2">
        <n x="340"/>
        <n x="74"/>
      </t>
    </mdx>
    <mdx n="0" f="m">
      <t c="2">
        <n x="200"/>
        <n x="9"/>
      </t>
    </mdx>
    <mdx n="0" f="m">
      <t c="1">
        <n x="517"/>
      </t>
    </mdx>
    <mdx n="0" f="m">
      <t c="2">
        <n x="344"/>
        <n x="85"/>
      </t>
    </mdx>
    <mdx n="0" f="m">
      <t c="2">
        <n x="208"/>
        <n x="93"/>
      </t>
    </mdx>
    <mdx n="0" f="m">
      <t c="1">
        <n x="518"/>
      </t>
    </mdx>
    <mdx n="0" f="m">
      <t c="2">
        <n x="348"/>
        <n x="2"/>
      </t>
    </mdx>
    <mdx n="0" f="m">
      <t c="2">
        <n x="216"/>
        <n x="11"/>
      </t>
    </mdx>
    <mdx n="0" f="m">
      <t c="1">
        <n x="519"/>
      </t>
    </mdx>
    <mdx n="0" f="m">
      <t c="2">
        <n x="352"/>
        <n x="7"/>
      </t>
    </mdx>
    <mdx n="0" f="m">
      <t c="2">
        <n x="224"/>
        <n x="7"/>
      </t>
    </mdx>
    <mdx n="0" f="m">
      <t c="1">
        <n x="520"/>
      </t>
    </mdx>
    <mdx n="0" f="m">
      <t c="2">
        <n x="356"/>
        <n x="2"/>
      </t>
    </mdx>
    <mdx n="0" f="m">
      <t c="2">
        <n x="232"/>
        <n x="13"/>
      </t>
    </mdx>
    <mdx n="0" f="m">
      <t c="1">
        <n x="521"/>
      </t>
    </mdx>
    <mdx n="0" f="m">
      <t c="2">
        <n x="360"/>
        <n x="74"/>
      </t>
    </mdx>
    <mdx n="0" f="m">
      <t c="2">
        <n x="240"/>
        <n x="9"/>
      </t>
    </mdx>
    <mdx n="0" f="m">
      <t c="1">
        <n x="522"/>
      </t>
    </mdx>
    <mdx n="0" f="m">
      <t c="2">
        <n x="364"/>
        <n x="85"/>
      </t>
    </mdx>
    <mdx n="0" f="m">
      <t c="2">
        <n x="248"/>
        <n x="93"/>
      </t>
    </mdx>
    <mdx n="0" f="m">
      <t c="1">
        <n x="523"/>
      </t>
    </mdx>
    <mdx n="0" f="m">
      <t c="2">
        <n x="368"/>
        <n x="87"/>
      </t>
    </mdx>
    <mdx n="0" f="m">
      <t c="2">
        <n x="256"/>
        <n x="70"/>
      </t>
    </mdx>
    <mdx n="0" f="m">
      <t c="1">
        <n x="524"/>
      </t>
    </mdx>
    <mdx n="0" f="m">
      <t c="2">
        <n x="372"/>
        <n x="4"/>
      </t>
    </mdx>
    <mdx n="0" f="m">
      <t c="2">
        <n x="264"/>
        <n x="7"/>
      </t>
    </mdx>
    <mdx n="0" f="m">
      <t c="1">
        <n x="525"/>
      </t>
    </mdx>
    <mdx n="0" f="m">
      <t c="2">
        <n x="376"/>
        <n x="85"/>
      </t>
    </mdx>
    <mdx n="0" f="m">
      <t c="2">
        <n x="272"/>
        <n x="93"/>
      </t>
    </mdx>
    <mdx n="0" f="m">
      <t c="1">
        <n x="526"/>
      </t>
    </mdx>
    <mdx n="0" f="m">
      <t c="1">
        <n x="527"/>
      </t>
    </mdx>
    <mdx n="0" f="m">
      <t c="1">
        <n x="528"/>
      </t>
    </mdx>
    <mdx n="0" f="m">
      <t c="1">
        <n x="529"/>
      </t>
    </mdx>
    <mdx n="0" f="m">
      <t c="1">
        <n x="530"/>
      </t>
    </mdx>
    <mdx n="0" f="m">
      <t c="1">
        <n x="531"/>
      </t>
    </mdx>
    <mdx n="0" f="m">
      <t c="1">
        <n x="532"/>
      </t>
    </mdx>
    <mdx n="0" f="m">
      <t c="1">
        <n x="533"/>
      </t>
    </mdx>
    <mdx n="0" f="m">
      <t c="1">
        <n x="534"/>
      </t>
    </mdx>
    <mdx n="0" f="m">
      <t c="1">
        <n x="535"/>
      </t>
    </mdx>
    <mdx n="0" f="m">
      <t c="1">
        <n x="536"/>
      </t>
    </mdx>
    <mdx n="0" f="m">
      <t c="1">
        <n x="537"/>
      </t>
    </mdx>
    <mdx n="0" f="m">
      <t c="1">
        <n x="538"/>
      </t>
    </mdx>
    <mdx n="0" f="m">
      <t c="1">
        <n x="539"/>
      </t>
    </mdx>
    <mdx n="0" f="m">
      <t c="1">
        <n x="540"/>
      </t>
    </mdx>
    <mdx n="0" f="m">
      <t c="1">
        <n x="64"/>
      </t>
    </mdx>
    <mdx n="0" f="m">
      <t c="2">
        <n x="278"/>
        <n x="13"/>
      </t>
    </mdx>
    <mdx n="0" f="m">
      <t c="2">
        <n x="73"/>
        <n x="11"/>
      </t>
    </mdx>
    <mdx n="0" f="m">
      <t c="1">
        <n x="77"/>
      </t>
    </mdx>
    <mdx n="0" f="m">
      <t c="1">
        <n x="464"/>
      </t>
    </mdx>
    <mdx n="0" f="m">
      <t c="1">
        <n x="465"/>
      </t>
    </mdx>
    <mdx n="0" f="m">
      <t c="2">
        <n x="54"/>
        <n x="11"/>
      </t>
    </mdx>
    <mdx n="0" f="m">
      <t c="2">
        <n x="61"/>
        <n x="2"/>
      </t>
    </mdx>
    <mdx n="0" f="m">
      <t c="2">
        <n x="100"/>
        <n x="74"/>
      </t>
    </mdx>
    <mdx n="0" f="m">
      <t c="2">
        <n x="294"/>
        <n x="63"/>
      </t>
    </mdx>
    <mdx n="0" f="m">
      <t c="2">
        <n x="470"/>
        <n x="93"/>
      </t>
    </mdx>
    <mdx n="0" f="m">
      <t c="2">
        <n x="113"/>
        <n x="87"/>
      </t>
    </mdx>
    <mdx n="0" f="m">
      <t c="1">
        <n x="421"/>
      </t>
    </mdx>
    <mdx n="0" f="m">
      <t c="2">
        <n x="471"/>
        <n x="13"/>
      </t>
    </mdx>
    <mdx n="0" f="m">
      <t c="2">
        <n x="121"/>
        <n x="87"/>
      </t>
    </mdx>
    <mdx n="0" f="m">
      <t c="1">
        <n x="423"/>
      </t>
    </mdx>
    <mdx n="0" f="m">
      <t c="2">
        <n x="472"/>
        <n x="70"/>
      </t>
    </mdx>
    <mdx n="0" f="m">
      <t c="2">
        <n x="129"/>
        <n x="9"/>
      </t>
    </mdx>
    <mdx n="0" f="m">
      <t c="1">
        <n x="425"/>
      </t>
    </mdx>
    <mdx n="0" f="m">
      <t c="2">
        <n x="473"/>
        <n x="85"/>
      </t>
    </mdx>
    <mdx n="0" f="m">
      <t c="2">
        <n x="137"/>
        <n x="93"/>
      </t>
    </mdx>
    <mdx n="0" f="m">
      <t c="1">
        <n x="427"/>
      </t>
    </mdx>
    <mdx n="0" f="m">
      <t c="2">
        <n x="474"/>
        <n x="4"/>
      </t>
    </mdx>
    <mdx n="0" f="m">
      <t c="2">
        <n x="145"/>
        <n x="13"/>
      </t>
    </mdx>
    <mdx n="0" f="m">
      <t c="1">
        <n x="429"/>
      </t>
    </mdx>
    <mdx n="0" f="m">
      <t c="2">
        <n x="475"/>
        <n x="74"/>
      </t>
    </mdx>
    <mdx n="0" f="m">
      <t c="2">
        <n x="153"/>
        <n x="4"/>
      </t>
    </mdx>
    <mdx n="0" f="m">
      <t c="1">
        <n x="431"/>
      </t>
    </mdx>
    <mdx n="0" f="m">
      <t c="2">
        <n x="476"/>
        <n x="4"/>
      </t>
    </mdx>
    <mdx n="0" f="m">
      <t c="2">
        <n x="161"/>
        <n x="63"/>
      </t>
    </mdx>
    <mdx n="0" f="m">
      <t c="1">
        <n x="433"/>
      </t>
    </mdx>
    <mdx n="0" f="m">
      <t c="2">
        <n x="477"/>
        <n x="70"/>
      </t>
    </mdx>
    <mdx n="0" f="m">
      <t c="2">
        <n x="169"/>
        <n x="4"/>
      </t>
    </mdx>
    <mdx n="0" f="m">
      <t c="1">
        <n x="435"/>
      </t>
    </mdx>
    <mdx n="0" f="m">
      <t c="2">
        <n x="478"/>
        <n x="11"/>
      </t>
    </mdx>
    <mdx n="0" f="m">
      <t c="2">
        <n x="177"/>
        <n x="74"/>
      </t>
    </mdx>
    <mdx n="0" f="m">
      <t c="1">
        <n x="437"/>
      </t>
    </mdx>
    <mdx n="0" f="m">
      <t c="2">
        <n x="479"/>
        <n x="85"/>
      </t>
    </mdx>
    <mdx n="0" f="m">
      <t c="2">
        <n x="185"/>
        <n x="87"/>
      </t>
    </mdx>
    <mdx n="0" f="m">
      <t c="1">
        <n x="439"/>
      </t>
    </mdx>
    <mdx n="0" f="m">
      <t c="2">
        <n x="480"/>
        <n x="13"/>
      </t>
    </mdx>
    <mdx n="0" f="m">
      <t c="2">
        <n x="193"/>
        <n x="13"/>
      </t>
    </mdx>
    <mdx n="0" f="m">
      <t c="1">
        <n x="441"/>
      </t>
    </mdx>
    <mdx n="0" f="m">
      <t c="2">
        <n x="481"/>
        <n x="7"/>
      </t>
    </mdx>
    <mdx n="0" f="m">
      <t c="2">
        <n x="201"/>
        <n x="9"/>
      </t>
    </mdx>
    <mdx n="0" f="m">
      <t c="1">
        <n x="443"/>
      </t>
    </mdx>
    <mdx n="0" f="m">
      <t c="2">
        <n x="482"/>
        <n x="93"/>
      </t>
    </mdx>
    <mdx n="0" f="m">
      <t c="2">
        <n x="209"/>
        <n x="70"/>
      </t>
    </mdx>
    <mdx n="0" f="m">
      <t c="1">
        <n x="445"/>
      </t>
    </mdx>
    <mdx n="0" f="m">
      <t c="2">
        <n x="483"/>
        <n x="13"/>
      </t>
    </mdx>
    <mdx n="0" f="m">
      <t c="2">
        <n x="217"/>
        <n x="11"/>
      </t>
    </mdx>
    <mdx n="0" f="m">
      <t c="1">
        <n x="447"/>
      </t>
    </mdx>
    <mdx n="0" f="m">
      <t c="2">
        <n x="484"/>
        <n x="7"/>
      </t>
    </mdx>
    <mdx n="0" f="m">
      <t c="2">
        <n x="225"/>
        <n x="9"/>
      </t>
    </mdx>
    <mdx n="0" f="m">
      <t c="1">
        <n x="449"/>
      </t>
    </mdx>
    <mdx n="0" f="m">
      <t c="2">
        <n x="485"/>
        <n x="2"/>
      </t>
    </mdx>
    <mdx n="0" f="m">
      <t c="2">
        <n x="233"/>
        <n x="13"/>
      </t>
    </mdx>
    <mdx n="0" f="m">
      <t c="1">
        <n x="451"/>
      </t>
    </mdx>
    <mdx n="0" f="m">
      <t c="2">
        <n x="486"/>
        <n x="74"/>
      </t>
    </mdx>
    <mdx n="0" f="m">
      <t c="2">
        <n x="241"/>
        <n x="9"/>
      </t>
    </mdx>
    <mdx n="0" f="m">
      <t c="1">
        <n x="453"/>
      </t>
    </mdx>
    <mdx n="0" f="m">
      <t c="2">
        <n x="487"/>
        <n x="93"/>
      </t>
    </mdx>
    <mdx n="0" f="m">
      <t c="2">
        <n x="249"/>
        <n x="93"/>
      </t>
    </mdx>
    <mdx n="0" f="m">
      <t c="1">
        <n x="455"/>
      </t>
    </mdx>
    <mdx n="0" f="m">
      <t c="2">
        <n x="488"/>
        <n x="87"/>
      </t>
    </mdx>
    <mdx n="0" f="m">
      <t c="2">
        <n x="257"/>
        <n x="70"/>
      </t>
    </mdx>
    <mdx n="0" f="m">
      <t c="1">
        <n x="457"/>
      </t>
    </mdx>
    <mdx n="0" f="m">
      <t c="2">
        <n x="489"/>
        <n x="74"/>
      </t>
    </mdx>
    <mdx n="0" f="m">
      <t c="2">
        <n x="265"/>
        <n x="63"/>
      </t>
    </mdx>
    <mdx n="0" f="m">
      <t c="1">
        <n x="459"/>
      </t>
    </mdx>
    <mdx n="0" f="m">
      <t c="2">
        <n x="490"/>
        <n x="85"/>
      </t>
    </mdx>
    <mdx n="0" f="m">
      <t c="2">
        <n x="273"/>
        <n x="93"/>
      </t>
    </mdx>
    <mdx n="0" f="m">
      <t c="2">
        <n x="491"/>
        <n x="87"/>
      </t>
    </mdx>
    <mdx n="0" f="m">
      <t c="2">
        <n x="492"/>
        <n x="87"/>
      </t>
    </mdx>
    <mdx n="0" f="m">
      <t c="2">
        <n x="493"/>
        <n x="4"/>
      </t>
    </mdx>
    <mdx n="0" f="m">
      <t c="2">
        <n x="494"/>
        <n x="4"/>
      </t>
    </mdx>
    <mdx n="0" f="m">
      <t c="2">
        <n x="495"/>
        <n x="2"/>
      </t>
    </mdx>
    <mdx n="0" f="m">
      <t c="2">
        <n x="496"/>
        <n x="13"/>
      </t>
    </mdx>
    <mdx n="0" f="m">
      <t c="2">
        <n x="497"/>
        <n x="11"/>
      </t>
    </mdx>
    <mdx n="0" f="m">
      <t c="2">
        <n x="498"/>
        <n x="74"/>
      </t>
    </mdx>
    <mdx n="0" f="m">
      <t c="2">
        <n x="499"/>
        <n x="9"/>
      </t>
    </mdx>
    <mdx n="0" f="m">
      <t c="2">
        <n x="500"/>
        <n x="63"/>
      </t>
    </mdx>
    <mdx n="0" f="m">
      <t c="2">
        <n x="501"/>
        <n x="63"/>
      </t>
    </mdx>
    <mdx n="0" f="m">
      <t c="2">
        <n x="502"/>
        <n x="85"/>
      </t>
    </mdx>
    <mdx n="0" f="m">
      <t c="2">
        <n x="503"/>
        <n x="93"/>
      </t>
    </mdx>
    <mdx n="0" f="m">
      <t c="2">
        <n x="504"/>
        <n x="87"/>
      </t>
    </mdx>
    <mdx n="0" f="m">
      <t c="2">
        <n x="505"/>
        <n x="70"/>
      </t>
    </mdx>
    <mdx n="0" f="v">
      <t c="3">
        <n x="12"/>
        <n x="13"/>
        <n x="408"/>
      </t>
    </mdx>
    <mdx n="0" f="v">
      <t c="3">
        <n x="279"/>
        <n x="4"/>
        <n x="408"/>
      </t>
    </mdx>
    <mdx n="0" f="v">
      <t c="3">
        <n x="287"/>
        <n x="11"/>
        <n x="408"/>
      </t>
    </mdx>
    <mdx n="0" f="v">
      <t c="3">
        <n x="386"/>
        <n x="4"/>
        <n x="408"/>
      </t>
    </mdx>
    <mdx n="0" f="v">
      <t c="3">
        <n x="399"/>
        <n x="63"/>
        <n x="408"/>
      </t>
    </mdx>
    <mdx n="0" f="v">
      <t c="3">
        <n x="405"/>
        <n x="87"/>
        <n x="408"/>
      </t>
    </mdx>
    <mdx n="0" f="v">
      <t c="3">
        <n x="409"/>
        <n x="4"/>
        <n x="408"/>
      </t>
    </mdx>
    <mdx n="0" f="v">
      <t c="3">
        <n x="68"/>
        <n x="70"/>
        <n x="408"/>
      </t>
    </mdx>
    <mdx n="0" f="v">
      <t c="3">
        <n x="410"/>
        <n x="70"/>
        <n x="408"/>
      </t>
    </mdx>
    <mdx n="0" f="v">
      <t c="3">
        <n x="21"/>
        <n x="4"/>
        <n x="408"/>
      </t>
    </mdx>
    <mdx n="0" f="v">
      <t c="3">
        <n x="28"/>
        <n x="74"/>
        <n x="408"/>
      </t>
    </mdx>
    <mdx n="0" f="v">
      <t c="3">
        <n x="78"/>
        <n x="63"/>
        <n x="408"/>
      </t>
    </mdx>
    <mdx n="0" f="v">
      <t c="3">
        <n x="412"/>
        <n x="2"/>
        <n x="408"/>
      </t>
    </mdx>
    <mdx n="0" f="v">
      <t c="3">
        <n x="37"/>
        <n x="11"/>
        <n x="408"/>
      </t>
    </mdx>
    <mdx n="0" f="v">
      <t c="3">
        <n x="413"/>
        <n x="9"/>
        <n x="408"/>
      </t>
    </mdx>
    <mdx n="0" f="v">
      <t c="3">
        <n x="44"/>
        <n x="63"/>
        <n x="408"/>
      </t>
    </mdx>
    <mdx n="0" f="v">
      <t c="3">
        <n x="46"/>
        <n x="85"/>
        <n x="408"/>
      </t>
    </mdx>
    <mdx n="0" f="v">
      <t c="3">
        <n x="88"/>
        <n x="93"/>
        <n x="408"/>
      </t>
    </mdx>
    <mdx n="0" f="v">
      <t c="3">
        <n x="414"/>
        <n x="2"/>
        <n x="408"/>
      </t>
    </mdx>
    <mdx n="0" f="v">
      <t c="3">
        <n x="53"/>
        <n x="13"/>
        <n x="408"/>
      </t>
    </mdx>
    <mdx n="0" f="v">
      <t c="3">
        <n x="60"/>
        <n x="87"/>
        <n x="408"/>
      </t>
    </mdx>
    <mdx n="0" f="v">
      <t c="3">
        <n x="98"/>
        <n x="93"/>
        <n x="408"/>
      </t>
    </mdx>
    <mdx n="0" f="v">
      <t c="3">
        <n x="417"/>
        <n x="74"/>
        <n x="408"/>
      </t>
    </mdx>
    <mdx n="0" f="v">
      <t c="3">
        <n x="102"/>
        <n x="7"/>
        <n x="408"/>
      </t>
    </mdx>
    <mdx n="0" f="v">
      <t c="3">
        <n x="106"/>
        <n x="63"/>
        <n x="408"/>
      </t>
    </mdx>
    <mdx n="0" f="v">
      <t c="3">
        <n x="419"/>
        <n x="85"/>
        <n x="408"/>
      </t>
    </mdx>
    <mdx n="0" f="v">
      <t c="3">
        <n x="110"/>
        <n x="93"/>
        <n x="408"/>
      </t>
    </mdx>
    <mdx n="0" f="v">
      <t c="3">
        <n x="420"/>
        <n x="87"/>
        <n x="408"/>
      </t>
    </mdx>
    <mdx n="0" f="v">
      <t c="3">
        <n x="114"/>
        <n x="2"/>
        <n x="408"/>
      </t>
    </mdx>
    <mdx n="0" f="v">
      <t c="3">
        <n x="421"/>
        <n x="87"/>
        <n x="408"/>
      </t>
    </mdx>
    <mdx n="0" f="v">
      <t c="3">
        <n x="118"/>
        <n x="2"/>
        <n x="408"/>
      </t>
    </mdx>
    <mdx n="0" f="v">
      <t c="3">
        <n x="422"/>
        <n x="13"/>
        <n x="408"/>
      </t>
    </mdx>
    <mdx n="0" f="v">
      <t c="3">
        <n x="122"/>
        <n x="11"/>
        <n x="408"/>
      </t>
    </mdx>
    <mdx n="0" f="v">
      <t c="3">
        <n x="423"/>
        <n x="11"/>
        <n x="408"/>
      </t>
    </mdx>
    <mdx n="0" f="v">
      <t c="3">
        <n x="126"/>
        <n x="74"/>
        <n x="408"/>
      </t>
    </mdx>
    <mdx n="0" f="v">
      <t c="3">
        <n x="130"/>
        <n x="9"/>
        <n x="408"/>
      </t>
    </mdx>
    <mdx n="0" f="v">
      <t c="3">
        <n x="425"/>
        <n x="63"/>
        <n x="408"/>
      </t>
    </mdx>
    <mdx n="0" f="v">
      <t c="3">
        <n x="134"/>
        <n x="85"/>
        <n x="408"/>
      </t>
    </mdx>
    <mdx n="0" f="v">
      <t c="3">
        <n x="138"/>
        <n x="93"/>
        <n x="408"/>
      </t>
    </mdx>
    <mdx n="0" f="v">
      <t c="3">
        <n x="427"/>
        <n x="87"/>
        <n x="408"/>
      </t>
    </mdx>
    <mdx n="0" f="v">
      <t c="3">
        <n x="142"/>
        <n x="70"/>
        <n x="408"/>
      </t>
    </mdx>
    <mdx n="0" f="v">
      <t c="3">
        <n x="428"/>
        <n x="2"/>
        <n x="408"/>
      </t>
    </mdx>
    <mdx n="0" f="v">
      <t c="3">
        <n x="146"/>
        <n x="13"/>
        <n x="408"/>
      </t>
    </mdx>
    <mdx n="0" f="v">
      <t c="3">
        <n x="429"/>
        <n x="4"/>
        <n x="408"/>
      </t>
    </mdx>
    <mdx n="0" f="v">
      <t c="3">
        <n x="150"/>
        <n x="74"/>
        <n x="408"/>
      </t>
    </mdx>
    <mdx n="0" f="v">
      <t c="3">
        <n x="430"/>
        <n x="74"/>
        <n x="408"/>
      </t>
    </mdx>
    <mdx n="0" f="v">
      <t c="3">
        <n x="154"/>
        <n x="7"/>
        <n x="408"/>
      </t>
    </mdx>
    <mdx n="0" f="v">
      <t c="3">
        <n x="431"/>
        <n x="7"/>
        <n x="408"/>
      </t>
    </mdx>
    <mdx n="0" f="v">
      <t c="3">
        <n x="158"/>
        <n x="63"/>
        <n x="408"/>
      </t>
    </mdx>
    <mdx n="0" f="v">
      <t c="3">
        <n x="162"/>
        <n x="63"/>
        <n x="408"/>
      </t>
    </mdx>
    <mdx n="0" f="v">
      <t c="3">
        <n x="433"/>
        <n x="93"/>
        <n x="408"/>
      </t>
    </mdx>
    <mdx n="0" f="v">
      <t c="3">
        <n x="166"/>
        <n x="87"/>
        <n x="408"/>
      </t>
    </mdx>
    <mdx n="0" f="v">
      <t c="3">
        <n x="170"/>
        <n x="13"/>
        <n x="408"/>
      </t>
    </mdx>
    <mdx n="0" f="v">
      <t c="3">
        <n x="435"/>
        <n x="13"/>
        <n x="408"/>
      </t>
    </mdx>
    <mdx n="0" f="v">
      <t c="3">
        <n x="174"/>
        <n x="11"/>
        <n x="408"/>
      </t>
    </mdx>
    <mdx n="0" f="v">
      <t c="3">
        <n x="436"/>
        <n x="11"/>
        <n x="408"/>
      </t>
    </mdx>
    <mdx n="0" f="v">
      <t c="3">
        <n x="178"/>
        <n x="74"/>
        <n x="408"/>
      </t>
    </mdx>
    <mdx n="0" f="v">
      <t c="3">
        <n x="437"/>
        <n x="74"/>
        <n x="408"/>
      </t>
    </mdx>
    <mdx n="0" f="v">
      <t c="3">
        <n x="182"/>
        <n x="85"/>
        <n x="408"/>
      </t>
    </mdx>
    <mdx n="0" f="v">
      <t c="3">
        <n x="438"/>
        <n x="93"/>
        <n x="408"/>
      </t>
    </mdx>
    <mdx n="0" f="v">
      <t c="3">
        <n x="186"/>
        <n x="70"/>
        <n x="408"/>
      </t>
    </mdx>
    <mdx n="0" f="v">
      <t c="3">
        <n x="439"/>
        <n x="4"/>
        <n x="408"/>
      </t>
    </mdx>
    <mdx n="0" f="v">
      <t c="3">
        <n x="190"/>
        <n x="13"/>
        <n x="408"/>
      </t>
    </mdx>
    <mdx n="0" f="v">
      <t c="3">
        <n x="194"/>
        <n x="11"/>
        <n x="408"/>
      </t>
    </mdx>
    <mdx n="0" f="v">
      <t c="3">
        <n x="441"/>
        <n x="74"/>
        <n x="408"/>
      </t>
    </mdx>
    <mdx n="0" f="v">
      <t c="3">
        <n x="198"/>
        <n x="7"/>
        <n x="408"/>
      </t>
    </mdx>
    <mdx n="0" f="v">
      <t c="3">
        <n x="202"/>
        <n x="63"/>
        <n x="408"/>
      </t>
    </mdx>
    <mdx n="0" f="v">
      <t c="3">
        <n x="443"/>
        <n x="63"/>
        <n x="408"/>
      </t>
    </mdx>
    <mdx n="0" f="v">
      <t c="3">
        <n x="206"/>
        <n x="85"/>
        <n x="408"/>
      </t>
    </mdx>
    <mdx n="0" f="v">
      <t c="3">
        <n x="444"/>
        <n x="93"/>
        <n x="408"/>
      </t>
    </mdx>
    <mdx n="0" f="v">
      <t c="3">
        <n x="210"/>
        <n x="70"/>
        <n x="408"/>
      </t>
    </mdx>
    <mdx n="0" f="v">
      <t c="3">
        <n x="445"/>
        <n x="4"/>
        <n x="408"/>
      </t>
    </mdx>
    <mdx n="0" f="v">
      <t c="3">
        <n x="214"/>
        <n x="13"/>
        <n x="408"/>
      </t>
    </mdx>
    <mdx n="0" f="v">
      <t c="3">
        <n x="446"/>
        <n x="11"/>
        <n x="408"/>
      </t>
    </mdx>
    <mdx n="0" f="v">
      <t c="3">
        <n x="218"/>
        <n x="11"/>
        <n x="408"/>
      </t>
    </mdx>
    <mdx n="0" f="v">
      <t c="3">
        <n x="447"/>
        <n x="74"/>
        <n x="408"/>
      </t>
    </mdx>
    <mdx n="0" f="v">
      <t c="3">
        <n x="222"/>
        <n x="7"/>
        <n x="408"/>
      </t>
    </mdx>
    <mdx n="0" f="v">
      <t c="3">
        <n x="226"/>
        <n x="63"/>
        <n x="408"/>
      </t>
    </mdx>
    <mdx n="0" f="v">
      <t c="3">
        <n x="449"/>
        <n x="87"/>
        <n x="408"/>
      </t>
    </mdx>
    <mdx n="0" f="v">
      <t c="3">
        <n x="230"/>
        <n x="2"/>
        <n x="408"/>
      </t>
    </mdx>
    <mdx n="0" f="v">
      <t c="3">
        <n x="234"/>
        <n x="11"/>
        <n x="408"/>
      </t>
    </mdx>
    <mdx n="0" f="v">
      <t c="3">
        <n x="451"/>
        <n x="74"/>
        <n x="408"/>
      </t>
    </mdx>
    <mdx n="0" f="v">
      <t c="3">
        <n x="238"/>
        <n x="74"/>
        <n x="408"/>
      </t>
    </mdx>
    <mdx n="0" f="v">
      <t c="3">
        <n x="452"/>
        <n x="7"/>
        <n x="408"/>
      </t>
    </mdx>
    <mdx n="0" f="v">
      <t c="3">
        <n x="242"/>
        <n x="9"/>
        <n x="408"/>
      </t>
    </mdx>
    <mdx n="0" f="v">
      <t c="3">
        <n x="453"/>
        <n x="85"/>
        <n x="408"/>
      </t>
    </mdx>
    <mdx n="0" f="v">
      <t c="3">
        <n x="246"/>
        <n x="85"/>
        <n x="408"/>
      </t>
    </mdx>
    <mdx n="0" f="v">
      <t c="3">
        <n x="454"/>
        <n x="93"/>
        <n x="408"/>
      </t>
    </mdx>
    <mdx n="0" f="v">
      <t c="3">
        <n x="250"/>
        <n x="87"/>
        <n x="408"/>
      </t>
    </mdx>
    <mdx n="0" f="v">
      <t c="3">
        <n x="455"/>
        <n x="87"/>
        <n x="408"/>
      </t>
    </mdx>
    <mdx n="0" f="v">
      <t c="3">
        <n x="254"/>
        <n x="87"/>
        <n x="408"/>
      </t>
    </mdx>
    <mdx n="0" f="v">
      <t c="3">
        <n x="258"/>
        <n x="70"/>
        <n x="408"/>
      </t>
    </mdx>
    <mdx n="0" f="v">
      <t c="3">
        <n x="457"/>
        <n x="4"/>
        <n x="408"/>
      </t>
    </mdx>
    <mdx n="0" f="v">
      <t c="3">
        <n x="262"/>
        <n x="4"/>
        <n x="408"/>
      </t>
    </mdx>
    <mdx n="0" f="v">
      <t c="3">
        <n x="266"/>
        <n x="63"/>
        <n x="408"/>
      </t>
    </mdx>
    <mdx n="0" f="v">
      <t c="3">
        <n x="459"/>
        <n x="85"/>
        <n x="408"/>
      </t>
    </mdx>
    <mdx n="0" f="v">
      <t c="3">
        <n x="270"/>
        <n x="85"/>
        <n x="408"/>
      </t>
    </mdx>
    <mdx n="0" f="v">
      <t c="3">
        <n x="274"/>
        <n x="93"/>
        <n x="408"/>
      </t>
    </mdx>
    <mdx n="0" f="v">
      <t c="3">
        <n x="411"/>
        <n x="74"/>
        <n x="408"/>
      </t>
    </mdx>
    <mdx n="0" f="v">
      <t c="3">
        <n x="415"/>
        <n x="93"/>
        <n x="408"/>
      </t>
    </mdx>
    <mdx n="0" f="v">
      <t c="3">
        <n x="418"/>
        <n x="93"/>
        <n x="408"/>
      </t>
    </mdx>
    <mdx n="0" f="v">
      <t c="3">
        <n x="426"/>
        <n x="93"/>
        <n x="408"/>
      </t>
    </mdx>
    <mdx n="0" f="v">
      <t c="3">
        <n x="434"/>
        <n x="70"/>
        <n x="408"/>
      </t>
    </mdx>
    <mdx n="0" f="v">
      <t c="3">
        <n x="442"/>
        <n x="7"/>
        <n x="408"/>
      </t>
    </mdx>
    <mdx n="0" f="v">
      <t c="3">
        <n x="450"/>
        <n x="2"/>
        <n x="408"/>
      </t>
    </mdx>
    <mdx n="0" f="v">
      <t c="3">
        <n x="263"/>
        <n x="74"/>
        <n x="408"/>
      </t>
    </mdx>
    <mdx n="0" f="v">
      <t c="3">
        <n x="381"/>
        <n x="87"/>
        <n x="408"/>
      </t>
    </mdx>
    <mdx n="0" f="v">
      <t c="3">
        <n x="388"/>
        <n x="2"/>
        <n x="408"/>
      </t>
    </mdx>
    <mdx n="0" f="v">
      <t c="3">
        <n x="394"/>
        <n x="74"/>
        <n x="408"/>
      </t>
    </mdx>
    <mdx n="0" f="v">
      <t c="3">
        <n x="401"/>
        <n x="85"/>
        <n x="408"/>
      </t>
    </mdx>
    <mdx n="0" f="v">
      <t c="3">
        <n x="461"/>
        <n x="13"/>
        <n x="408"/>
      </t>
    </mdx>
    <mdx n="0" f="v">
      <t c="3">
        <n x="16"/>
        <n x="70"/>
        <n x="408"/>
      </t>
    </mdx>
    <mdx n="0" f="v">
      <t c="3">
        <n x="18"/>
        <n x="13"/>
        <n x="408"/>
      </t>
    </mdx>
    <mdx n="0" f="v">
      <t c="3">
        <n x="71"/>
        <n x="4"/>
        <n x="408"/>
      </t>
    </mdx>
    <mdx n="0" f="v">
      <t c="3">
        <n x="462"/>
        <n x="4"/>
        <n x="408"/>
      </t>
    </mdx>
    <mdx n="0" f="v">
      <t c="3">
        <n x="25"/>
        <n x="13"/>
        <n x="408"/>
      </t>
    </mdx>
    <mdx n="0" f="v">
      <t c="3">
        <n x="463"/>
        <n x="9"/>
        <n x="408"/>
      </t>
    </mdx>
    <mdx n="0" f="v">
      <t c="3">
        <n x="32"/>
        <n x="9"/>
        <n x="408"/>
      </t>
    </mdx>
    <mdx n="0" f="v">
      <t c="3">
        <n x="34"/>
        <n x="63"/>
        <n x="408"/>
      </t>
    </mdx>
    <mdx n="0" f="v">
      <t c="3">
        <n x="80"/>
        <n x="11"/>
        <n x="408"/>
      </t>
    </mdx>
    <mdx n="0" f="v">
      <t c="3">
        <n x="464"/>
        <n x="74"/>
        <n x="408"/>
      </t>
    </mdx>
    <mdx n="0" f="v">
      <t c="3">
        <n x="41"/>
        <n x="7"/>
        <n x="408"/>
      </t>
    </mdx>
    <mdx n="0" f="v">
      <t c="3">
        <n x="465"/>
        <n x="85"/>
        <n x="408"/>
      </t>
    </mdx>
    <mdx n="0" f="v">
      <t c="3">
        <n x="48"/>
        <n x="93"/>
        <n x="408"/>
      </t>
    </mdx>
    <mdx n="0" f="v">
      <t c="3">
        <n x="50"/>
        <n x="2"/>
        <n x="408"/>
      </t>
    </mdx>
    <mdx n="0" f="v">
      <t c="3">
        <n x="90"/>
        <n x="93"/>
        <n x="408"/>
      </t>
    </mdx>
    <mdx n="0" f="v">
      <t c="3">
        <n x="466"/>
        <n x="74"/>
        <n x="408"/>
      </t>
    </mdx>
    <mdx n="0" f="v">
      <t c="3">
        <n x="57"/>
        <n x="9"/>
        <n x="408"/>
      </t>
    </mdx>
    <mdx n="0" f="v">
      <t c="3">
        <n x="97"/>
        <n x="11"/>
        <n x="408"/>
      </t>
    </mdx>
    <mdx n="0" f="v">
      <t c="3">
        <n x="467"/>
        <n x="11"/>
        <n x="408"/>
      </t>
    </mdx>
    <mdx n="0" f="v">
      <t c="3">
        <n x="101"/>
        <n x="74"/>
        <n x="408"/>
      </t>
    </mdx>
    <mdx n="0" f="v">
      <t c="3">
        <n x="468"/>
        <n x="7"/>
        <n x="408"/>
      </t>
    </mdx>
    <mdx n="0" f="v">
      <t c="3">
        <n x="105"/>
        <n x="63"/>
        <n x="408"/>
      </t>
    </mdx>
    <mdx n="0" f="v">
      <t c="3">
        <n x="469"/>
        <n x="63"/>
        <n x="408"/>
      </t>
    </mdx>
    <mdx n="0" f="v">
      <t c="3">
        <n x="109"/>
        <n x="93"/>
        <n x="408"/>
      </t>
    </mdx>
    <mdx n="0" f="v">
      <t c="3">
        <n x="416"/>
        <n x="2"/>
        <n x="408"/>
      </t>
    </mdx>
    <mdx n="0" f="v">
      <t c="3">
        <n x="448"/>
        <n x="7"/>
        <n x="408"/>
      </t>
    </mdx>
    <mdx n="0" f="v">
      <t c="3">
        <n x="458"/>
        <n x="74"/>
        <n x="408"/>
      </t>
    </mdx>
    <mdx n="0" f="v">
      <t c="3">
        <n x="397"/>
        <n x="63"/>
        <n x="408"/>
      </t>
    </mdx>
    <mdx n="0" f="v">
      <t c="3">
        <n x="276"/>
        <n x="70"/>
        <n x="408"/>
      </t>
    </mdx>
    <mdx n="0" f="v">
      <t c="3">
        <n x="20"/>
        <n x="70"/>
        <n x="408"/>
      </t>
    </mdx>
    <mdx n="0" f="v">
      <t c="3">
        <n x="280"/>
        <n x="74"/>
        <n x="408"/>
      </t>
    </mdx>
    <mdx n="0" f="v">
      <t c="3">
        <n x="282"/>
        <n x="63"/>
        <n x="408"/>
      </t>
    </mdx>
    <mdx n="0" f="v">
      <t c="3">
        <n x="82"/>
        <n x="63"/>
        <n x="408"/>
      </t>
    </mdx>
    <mdx n="0" f="v">
      <t c="3">
        <n x="96"/>
        <n x="13"/>
        <n x="408"/>
      </t>
    </mdx>
    <mdx n="0" f="v">
      <t c="3">
        <n x="292"/>
        <n x="7"/>
        <n x="408"/>
      </t>
    </mdx>
    <mdx n="0" f="v">
      <t c="3">
        <n x="298"/>
        <n x="87"/>
        <n x="408"/>
      </t>
    </mdx>
    <mdx n="0" f="v">
      <t c="3">
        <n x="302"/>
        <n x="13"/>
        <n x="408"/>
      </t>
    </mdx>
    <mdx n="0" f="v">
      <t c="3">
        <n x="124"/>
        <n x="11"/>
        <n x="408"/>
      </t>
    </mdx>
    <mdx n="0" f="v">
      <t c="3">
        <n x="306"/>
        <n x="9"/>
        <n x="408"/>
      </t>
    </mdx>
    <mdx n="0" f="v">
      <t c="3">
        <n x="132"/>
        <n x="70"/>
        <n x="408"/>
      </t>
    </mdx>
    <mdx n="0" f="v">
      <t c="3">
        <n x="310"/>
        <n x="70"/>
        <n x="408"/>
      </t>
    </mdx>
    <mdx n="0" f="v">
      <t c="3">
        <n x="140"/>
        <n x="87"/>
        <n x="408"/>
      </t>
    </mdx>
    <mdx n="0" f="v">
      <t c="3">
        <n x="314"/>
        <n x="13"/>
        <n x="408"/>
      </t>
    </mdx>
    <mdx n="0" f="v">
      <t c="3">
        <n x="318"/>
        <n x="7"/>
        <n x="408"/>
      </t>
    </mdx>
    <mdx n="0" f="v">
      <t c="3">
        <n x="156"/>
        <n x="7"/>
        <n x="408"/>
      </t>
    </mdx>
    <mdx n="0" f="v">
      <t c="3">
        <n x="322"/>
        <n x="63"/>
        <n x="408"/>
      </t>
    </mdx>
    <mdx n="0" f="v">
      <t c="3">
        <n x="164"/>
        <n x="93"/>
        <n x="408"/>
      </t>
    </mdx>
    <mdx n="0" f="v">
      <t c="3">
        <n x="326"/>
        <n x="4"/>
        <n x="408"/>
      </t>
    </mdx>
    <mdx n="0" f="v">
      <t c="3">
        <n x="172"/>
        <n x="13"/>
        <n x="408"/>
      </t>
    </mdx>
    <mdx n="0" f="v">
      <t c="3">
        <n x="330"/>
        <n x="74"/>
        <n x="408"/>
      </t>
    </mdx>
    <mdx n="0" f="v">
      <t c="3">
        <n x="180"/>
        <n x="7"/>
        <n x="408"/>
      </t>
    </mdx>
    <mdx n="0" f="v">
      <t c="3">
        <n x="334"/>
        <n x="70"/>
        <n x="408"/>
      </t>
    </mdx>
    <mdx n="0" f="v">
      <t c="3">
        <n x="188"/>
        <n x="2"/>
        <n x="408"/>
      </t>
    </mdx>
    <mdx n="0" f="v">
      <t c="3">
        <n x="338"/>
        <n x="11"/>
        <n x="408"/>
      </t>
    </mdx>
    <mdx n="0" f="v">
      <t c="3">
        <n x="196"/>
        <n x="74"/>
        <n x="408"/>
      </t>
    </mdx>
    <mdx n="0" f="v">
      <t c="3">
        <n x="342"/>
        <n x="9"/>
        <n x="408"/>
      </t>
    </mdx>
    <mdx n="0" f="v">
      <t c="3">
        <n x="204"/>
        <n x="63"/>
        <n x="408"/>
      </t>
    </mdx>
    <mdx n="0" f="v">
      <t c="3">
        <n x="346"/>
        <n x="70"/>
        <n x="408"/>
      </t>
    </mdx>
    <mdx n="0" f="v">
      <t c="3">
        <n x="350"/>
        <n x="11"/>
        <n x="408"/>
      </t>
    </mdx>
    <mdx n="0" f="v">
      <t c="3">
        <n x="220"/>
        <n x="74"/>
        <n x="408"/>
      </t>
    </mdx>
    <mdx n="0" f="v">
      <t c="3">
        <n x="354"/>
        <n x="9"/>
        <n x="408"/>
      </t>
    </mdx>
    <mdx n="0" f="v">
      <t c="3">
        <n x="228"/>
        <n x="87"/>
        <n x="408"/>
      </t>
    </mdx>
    <mdx n="0" f="v">
      <t c="3">
        <n x="358"/>
        <n x="13"/>
        <n x="408"/>
      </t>
    </mdx>
    <mdx n="0" f="v">
      <t c="3">
        <n x="236"/>
        <n x="74"/>
        <n x="408"/>
      </t>
    </mdx>
    <mdx n="0" f="v">
      <t c="3">
        <n x="362"/>
        <n x="9"/>
        <n x="408"/>
      </t>
    </mdx>
    <mdx n="0" f="v">
      <t c="3">
        <n x="366"/>
        <n x="87"/>
        <n x="408"/>
      </t>
    </mdx>
    <mdx n="0" f="v">
      <t c="3">
        <n x="252"/>
        <n x="87"/>
        <n x="408"/>
      </t>
    </mdx>
    <mdx n="0" f="v">
      <t c="3">
        <n x="370"/>
        <n x="70"/>
        <n x="408"/>
      </t>
    </mdx>
    <mdx n="0" f="v">
      <t c="3">
        <n x="260"/>
        <n x="4"/>
        <n x="408"/>
      </t>
    </mdx>
    <mdx n="0" f="v">
      <t c="3">
        <n x="374"/>
        <n x="63"/>
        <n x="408"/>
      </t>
    </mdx>
    <mdx n="0" f="v">
      <t c="3">
        <n x="268"/>
        <n x="85"/>
        <n x="408"/>
      </t>
    </mdx>
    <mdx n="0" f="v">
      <t c="3">
        <n x="378"/>
        <n x="93"/>
        <n x="408"/>
      </t>
    </mdx>
    <mdx n="0" f="v">
      <t c="3">
        <n x="30"/>
        <n x="7"/>
        <n x="408"/>
      </t>
    </mdx>
    <mdx n="0" f="v">
      <t c="3">
        <n x="148"/>
        <n x="11"/>
        <n x="408"/>
      </t>
    </mdx>
    <mdx n="0" f="v">
      <t c="3">
        <n x="440"/>
        <n x="13"/>
        <n x="408"/>
      </t>
    </mdx>
    <mdx n="0" f="v">
      <t c="3">
        <n x="460"/>
        <n x="93"/>
        <n x="408"/>
      </t>
    </mdx>
    <mdx n="0" f="v">
      <t c="3">
        <n x="22"/>
        <n x="4"/>
        <n x="408"/>
      </t>
    </mdx>
    <mdx n="0" f="v">
      <t c="3">
        <n x="29"/>
        <n x="74"/>
        <n x="408"/>
      </t>
    </mdx>
    <mdx n="0" f="v">
      <t c="3">
        <n x="36"/>
        <n x="63"/>
        <n x="408"/>
      </t>
    </mdx>
    <mdx n="0" f="v">
      <t c="3">
        <n x="284"/>
        <n x="63"/>
        <n x="408"/>
      </t>
    </mdx>
    <mdx n="0" f="v">
      <t c="3">
        <n x="92"/>
        <n x="63"/>
        <n x="408"/>
      </t>
    </mdx>
    <mdx n="0" f="v">
      <t c="3">
        <n x="290"/>
        <n x="11"/>
        <n x="408"/>
      </t>
    </mdx>
    <mdx n="0" f="v">
      <t c="3">
        <n x="108"/>
        <n x="85"/>
        <n x="408"/>
      </t>
    </mdx>
    <mdx n="0" f="v">
      <t c="3">
        <n x="506"/>
        <n x="2"/>
        <n x="408"/>
      </t>
    </mdx>
    <mdx n="0" f="v">
      <t c="3">
        <n x="117"/>
        <n x="2"/>
        <n x="408"/>
      </t>
    </mdx>
    <mdx n="0" f="v">
      <t c="3">
        <n x="507"/>
        <n x="11"/>
        <n x="408"/>
      </t>
    </mdx>
    <mdx n="0" f="v">
      <t c="3">
        <n x="125"/>
        <n x="74"/>
        <n x="408"/>
      </t>
    </mdx>
    <mdx n="0" f="v">
      <t c="3">
        <n x="508"/>
        <n x="9"/>
        <n x="408"/>
      </t>
    </mdx>
    <mdx n="0" f="v">
      <t c="3">
        <n x="133"/>
        <n x="63"/>
        <n x="408"/>
      </t>
    </mdx>
    <mdx n="0" f="v">
      <t c="3">
        <n x="509"/>
        <n x="87"/>
        <n x="408"/>
      </t>
    </mdx>
    <mdx n="0" f="v">
      <t c="3">
        <n x="141"/>
        <n x="70"/>
        <n x="408"/>
      </t>
    </mdx>
    <mdx n="0" f="v">
      <t c="3">
        <n x="510"/>
        <n x="13"/>
        <n x="408"/>
      </t>
    </mdx>
    <mdx n="0" f="v">
      <t c="3">
        <n x="149"/>
        <n x="11"/>
        <n x="408"/>
      </t>
    </mdx>
    <mdx n="0" f="v">
      <t c="3">
        <n x="511"/>
        <n x="7"/>
        <n x="408"/>
      </t>
    </mdx>
    <mdx n="0" f="v">
      <t c="3">
        <n x="157"/>
        <n x="9"/>
        <n x="408"/>
      </t>
    </mdx>
    <mdx n="0" f="v">
      <t c="3">
        <n x="512"/>
        <n x="85"/>
        <n x="408"/>
      </t>
    </mdx>
    <mdx n="0" f="v">
      <t c="3">
        <n x="165"/>
        <n x="93"/>
        <n x="408"/>
      </t>
    </mdx>
    <mdx n="0" f="v">
      <t c="3">
        <n x="513"/>
        <n x="13"/>
        <n x="408"/>
      </t>
    </mdx>
    <mdx n="0" f="v">
      <t c="3">
        <n x="173"/>
        <n x="11"/>
        <n x="408"/>
      </t>
    </mdx>
    <mdx n="0" f="v">
      <t c="3">
        <n x="514"/>
        <n x="74"/>
        <n x="408"/>
      </t>
    </mdx>
    <mdx n="0" f="v">
      <t c="3">
        <n x="181"/>
        <n x="9"/>
        <n x="408"/>
      </t>
    </mdx>
    <mdx n="0" f="v">
      <t c="3">
        <n x="515"/>
        <n x="70"/>
        <n x="408"/>
      </t>
    </mdx>
    <mdx n="0" f="v">
      <t c="3">
        <n x="189"/>
        <n x="2"/>
        <n x="408"/>
      </t>
    </mdx>
    <mdx n="0" f="v">
      <t c="3">
        <n x="516"/>
        <n x="11"/>
        <n x="408"/>
      </t>
    </mdx>
    <mdx n="0" f="v">
      <t c="3">
        <n x="197"/>
        <n x="74"/>
        <n x="408"/>
      </t>
    </mdx>
    <mdx n="0" f="v">
      <t c="3">
        <n x="517"/>
        <n x="63"/>
        <n x="408"/>
      </t>
    </mdx>
    <mdx n="0" f="v">
      <t c="3">
        <n x="205"/>
        <n x="85"/>
        <n x="408"/>
      </t>
    </mdx>
    <mdx n="0" f="v">
      <t c="3">
        <n x="518"/>
        <n x="70"/>
        <n x="408"/>
      </t>
    </mdx>
    <mdx n="0" f="v">
      <t c="3">
        <n x="213"/>
        <n x="2"/>
        <n x="408"/>
      </t>
    </mdx>
    <mdx n="0" f="v">
      <t c="3">
        <n x="519"/>
        <n x="11"/>
        <n x="408"/>
      </t>
    </mdx>
    <mdx n="0" f="v">
      <t c="3">
        <n x="221"/>
        <n x="74"/>
        <n x="408"/>
      </t>
    </mdx>
    <mdx n="0" f="v">
      <t c="3">
        <n x="520"/>
        <n x="85"/>
        <n x="408"/>
      </t>
    </mdx>
    <mdx n="0" f="v">
      <t c="3">
        <n x="229"/>
        <n x="70"/>
        <n x="408"/>
      </t>
    </mdx>
    <mdx n="0" f="v">
      <t c="3">
        <n x="521"/>
        <n x="11"/>
        <n x="408"/>
      </t>
    </mdx>
    <mdx n="0" f="v">
      <t c="3">
        <n x="237"/>
        <n x="74"/>
        <n x="408"/>
      </t>
    </mdx>
    <mdx n="0" f="v">
      <t c="3">
        <n x="522"/>
        <n x="63"/>
        <n x="408"/>
      </t>
    </mdx>
    <mdx n="0" f="v">
      <t c="3">
        <n x="245"/>
        <n x="85"/>
        <n x="408"/>
      </t>
    </mdx>
    <mdx n="0" f="v">
      <t c="3">
        <n x="523"/>
        <n x="87"/>
        <n x="408"/>
      </t>
    </mdx>
    <mdx n="0" f="v">
      <t c="3">
        <n x="253"/>
        <n x="87"/>
        <n x="408"/>
      </t>
    </mdx>
    <mdx n="0" f="v">
      <t c="3">
        <n x="524"/>
        <n x="70"/>
        <n x="408"/>
      </t>
    </mdx>
    <mdx n="0" f="v">
      <t c="3">
        <n x="261"/>
        <n x="4"/>
        <n x="408"/>
      </t>
    </mdx>
    <mdx n="0" f="v">
      <t c="3">
        <n x="525"/>
        <n x="63"/>
        <n x="408"/>
      </t>
    </mdx>
    <mdx n="0" f="v">
      <t c="3">
        <n x="269"/>
        <n x="85"/>
        <n x="408"/>
      </t>
    </mdx>
    <mdx n="0" f="v">
      <t c="3">
        <n x="526"/>
        <n x="87"/>
        <n x="408"/>
      </t>
    </mdx>
    <mdx n="0" f="v">
      <t c="3">
        <n x="527"/>
        <n x="87"/>
        <n x="408"/>
      </t>
    </mdx>
    <mdx n="0" f="v">
      <t c="3">
        <n x="528"/>
        <n x="70"/>
        <n x="408"/>
      </t>
    </mdx>
    <mdx n="0" f="v">
      <t c="3">
        <n x="529"/>
        <n x="4"/>
        <n x="408"/>
      </t>
    </mdx>
    <mdx n="0" f="v">
      <t c="3">
        <n x="530"/>
        <n x="2"/>
        <n x="408"/>
      </t>
    </mdx>
    <mdx n="0" f="v">
      <t c="3">
        <n x="531"/>
        <n x="2"/>
        <n x="408"/>
      </t>
    </mdx>
    <mdx n="0" f="v">
      <t c="3">
        <n x="532"/>
        <n x="11"/>
        <n x="408"/>
      </t>
    </mdx>
    <mdx n="0" f="v">
      <t c="3">
        <n x="533"/>
        <n x="11"/>
        <n x="408"/>
      </t>
    </mdx>
    <mdx n="0" f="v">
      <t c="3">
        <n x="534"/>
        <n x="7"/>
        <n x="408"/>
      </t>
    </mdx>
    <mdx n="0" f="v">
      <t c="3">
        <n x="535"/>
        <n x="63"/>
        <n x="408"/>
      </t>
    </mdx>
    <mdx n="0" f="v">
      <t c="3">
        <n x="536"/>
        <n x="63"/>
        <n x="408"/>
      </t>
    </mdx>
    <mdx n="0" f="v">
      <t c="3">
        <n x="537"/>
        <n x="85"/>
        <n x="408"/>
      </t>
    </mdx>
    <mdx n="0" f="v">
      <t c="3">
        <n x="538"/>
        <n x="85"/>
        <n x="408"/>
      </t>
    </mdx>
    <mdx n="0" f="v">
      <t c="3">
        <n x="539"/>
        <n x="93"/>
        <n x="408"/>
      </t>
    </mdx>
    <mdx n="0" f="v">
      <t c="3">
        <n x="540"/>
        <n x="87"/>
        <n x="408"/>
      </t>
    </mdx>
    <mdx n="0" f="v">
      <t c="3">
        <n x="283"/>
        <n x="11"/>
        <n x="408"/>
      </t>
    </mdx>
    <mdx n="0" f="v">
      <t c="3">
        <n x="116"/>
        <n x="2"/>
        <n x="408"/>
      </t>
    </mdx>
    <mdx n="0" f="v">
      <t c="3">
        <n x="432"/>
        <n x="63"/>
        <n x="408"/>
      </t>
    </mdx>
    <mdx n="0" f="v">
      <t c="3">
        <n x="244"/>
        <n x="85"/>
        <n x="408"/>
      </t>
    </mdx>
    <mdx n="0" f="v">
      <t c="3">
        <n x="383"/>
        <n x="70"/>
        <n x="408"/>
      </t>
    </mdx>
    <mdx n="0" f="v">
      <t c="3">
        <n x="407"/>
        <n x="70"/>
        <n x="408"/>
      </t>
    </mdx>
    <mdx n="0" f="v">
      <t c="3">
        <n x="38"/>
        <n x="11"/>
        <n x="408"/>
      </t>
    </mdx>
    <mdx n="0" f="v">
      <t c="3">
        <n x="45"/>
        <n x="85"/>
        <n x="408"/>
      </t>
    </mdx>
    <mdx n="0" f="v">
      <t c="3">
        <n x="52"/>
        <n x="2"/>
        <n x="408"/>
      </t>
    </mdx>
    <mdx n="0" f="v">
      <t c="3">
        <n x="288"/>
        <n x="87"/>
        <n x="408"/>
      </t>
    </mdx>
    <mdx n="0" f="v">
      <t c="3">
        <n x="104"/>
        <n x="7"/>
        <n x="408"/>
      </t>
    </mdx>
    <mdx n="0" f="v">
      <t c="3">
        <n x="296"/>
        <n x="93"/>
        <n x="408"/>
      </t>
    </mdx>
    <mdx n="0" f="v">
      <t c="3">
        <n x="112"/>
        <n x="70"/>
        <n x="408"/>
      </t>
    </mdx>
    <mdx n="0" f="v">
      <t c="3">
        <n x="300"/>
        <n x="2"/>
        <n x="408"/>
      </t>
    </mdx>
    <mdx n="0" f="v">
      <t c="3">
        <n x="120"/>
        <n x="13"/>
        <n x="408"/>
      </t>
    </mdx>
    <mdx n="0" f="v">
      <t c="3">
        <n x="304"/>
        <n x="74"/>
        <n x="408"/>
      </t>
    </mdx>
    <mdx n="0" f="v">
      <t c="3">
        <n x="128"/>
        <n x="7"/>
        <n x="408"/>
      </t>
    </mdx>
    <mdx n="0" f="v">
      <t c="3">
        <n x="308"/>
        <n x="85"/>
        <n x="408"/>
      </t>
    </mdx>
    <mdx n="0" f="v">
      <t c="3">
        <n x="136"/>
        <n x="93"/>
        <n x="408"/>
      </t>
    </mdx>
    <mdx n="0" f="v">
      <t c="3">
        <n x="312"/>
        <n x="70"/>
        <n x="408"/>
      </t>
    </mdx>
    <mdx n="0" f="v">
      <t c="3">
        <n x="144"/>
        <n x="13"/>
        <n x="408"/>
      </t>
    </mdx>
    <mdx n="0" f="v">
      <t c="3">
        <n x="316"/>
        <n x="11"/>
        <n x="408"/>
      </t>
    </mdx>
    <mdx n="0" f="v">
      <t c="3">
        <n x="152"/>
        <n x="74"/>
        <n x="408"/>
      </t>
    </mdx>
    <mdx n="0" f="v">
      <t c="3">
        <n x="320"/>
        <n x="9"/>
        <n x="408"/>
      </t>
    </mdx>
    <mdx n="0" f="v">
      <t c="3">
        <n x="160"/>
        <n x="63"/>
        <n x="408"/>
      </t>
    </mdx>
    <mdx n="0" f="v">
      <t c="3">
        <n x="324"/>
        <n x="93"/>
        <n x="408"/>
      </t>
    </mdx>
    <mdx n="0" f="v">
      <t c="3">
        <n x="328"/>
        <n x="11"/>
        <n x="408"/>
      </t>
    </mdx>
    <mdx n="0" f="v">
      <t c="3">
        <n x="176"/>
        <n x="11"/>
        <n x="408"/>
      </t>
    </mdx>
    <mdx n="0" f="v">
      <t c="3">
        <n x="332"/>
        <n x="9"/>
        <n x="408"/>
      </t>
    </mdx>
    <mdx n="0" f="v">
      <t c="3">
        <n x="184"/>
        <n x="93"/>
        <n x="408"/>
      </t>
    </mdx>
    <mdx n="0" f="v">
      <t c="3">
        <n x="336"/>
        <n x="13"/>
        <n x="408"/>
      </t>
    </mdx>
    <mdx n="0" f="v">
      <t c="3">
        <n x="192"/>
        <n x="13"/>
        <n x="408"/>
      </t>
    </mdx>
    <mdx n="0" f="v">
      <t c="3">
        <n x="340"/>
        <n x="74"/>
        <n x="408"/>
      </t>
    </mdx>
    <mdx n="0" f="v">
      <t c="3">
        <n x="200"/>
        <n x="9"/>
        <n x="408"/>
      </t>
    </mdx>
    <mdx n="0" f="v">
      <t c="3">
        <n x="344"/>
        <n x="85"/>
        <n x="408"/>
      </t>
    </mdx>
    <mdx n="0" f="v">
      <t c="3">
        <n x="208"/>
        <n x="93"/>
        <n x="408"/>
      </t>
    </mdx>
    <mdx n="0" f="v">
      <t c="3">
        <n x="348"/>
        <n x="2"/>
        <n x="408"/>
      </t>
    </mdx>
    <mdx n="0" f="v">
      <t c="3">
        <n x="216"/>
        <n x="11"/>
        <n x="408"/>
      </t>
    </mdx>
    <mdx n="0" f="v">
      <t c="3">
        <n x="352"/>
        <n x="7"/>
        <n x="408"/>
      </t>
    </mdx>
    <mdx n="0" f="v">
      <t c="3">
        <n x="224"/>
        <n x="7"/>
        <n x="408"/>
      </t>
    </mdx>
    <mdx n="0" f="v">
      <t c="3">
        <n x="356"/>
        <n x="2"/>
        <n x="408"/>
      </t>
    </mdx>
    <mdx n="0" f="v">
      <t c="3">
        <n x="232"/>
        <n x="13"/>
        <n x="408"/>
      </t>
    </mdx>
    <mdx n="0" f="v">
      <t c="3">
        <n x="360"/>
        <n x="74"/>
        <n x="408"/>
      </t>
    </mdx>
    <mdx n="0" f="v">
      <t c="3">
        <n x="240"/>
        <n x="9"/>
        <n x="408"/>
      </t>
    </mdx>
    <mdx n="0" f="v">
      <t c="3">
        <n x="364"/>
        <n x="85"/>
        <n x="408"/>
      </t>
    </mdx>
    <mdx n="0" f="v">
      <t c="3">
        <n x="248"/>
        <n x="93"/>
        <n x="408"/>
      </t>
    </mdx>
    <mdx n="0" f="v">
      <t c="3">
        <n x="368"/>
        <n x="87"/>
        <n x="408"/>
      </t>
    </mdx>
    <mdx n="0" f="v">
      <t c="3">
        <n x="256"/>
        <n x="70"/>
        <n x="408"/>
      </t>
    </mdx>
    <mdx n="0" f="v">
      <t c="3">
        <n x="372"/>
        <n x="4"/>
        <n x="408"/>
      </t>
    </mdx>
    <mdx n="0" f="v">
      <t c="3">
        <n x="264"/>
        <n x="7"/>
        <n x="408"/>
      </t>
    </mdx>
    <mdx n="0" f="v">
      <t c="3">
        <n x="376"/>
        <n x="85"/>
        <n x="408"/>
      </t>
    </mdx>
    <mdx n="0" f="v">
      <t c="3">
        <n x="272"/>
        <n x="93"/>
        <n x="408"/>
      </t>
    </mdx>
    <mdx n="0" f="v">
      <t c="3">
        <n x="286"/>
        <n x="2"/>
        <n x="408"/>
      </t>
    </mdx>
    <mdx n="0" f="v">
      <t c="3">
        <n x="424"/>
        <n x="74"/>
        <n x="408"/>
      </t>
    </mdx>
    <mdx n="0" f="v">
      <t c="3">
        <n x="168"/>
        <n x="70"/>
        <n x="408"/>
      </t>
    </mdx>
    <mdx n="0" f="v">
      <t c="3">
        <n x="212"/>
        <n x="4"/>
        <n x="408"/>
      </t>
    </mdx>
    <mdx n="0" f="v">
      <t c="3">
        <n x="456"/>
        <n x="70"/>
        <n x="408"/>
      </t>
    </mdx>
    <mdx n="0" f="v">
      <t c="3">
        <n x="389"/>
        <n x="2"/>
        <n x="408"/>
      </t>
    </mdx>
    <mdx n="0" f="v">
      <t c="3">
        <n x="278"/>
        <n x="13"/>
        <n x="408"/>
      </t>
    </mdx>
    <mdx n="0" f="v">
      <t c="3">
        <n x="73"/>
        <n x="11"/>
        <n x="408"/>
      </t>
    </mdx>
    <mdx n="0" f="v">
      <t c="3">
        <n x="54"/>
        <n x="11"/>
        <n x="408"/>
      </t>
    </mdx>
    <mdx n="0" f="v">
      <t c="3">
        <n x="61"/>
        <n x="2"/>
        <n x="408"/>
      </t>
    </mdx>
    <mdx n="0" f="v">
      <t c="3">
        <n x="100"/>
        <n x="74"/>
        <n x="408"/>
      </t>
    </mdx>
    <mdx n="0" f="v">
      <t c="3">
        <n x="294"/>
        <n x="63"/>
        <n x="408"/>
      </t>
    </mdx>
    <mdx n="0" f="v">
      <t c="3">
        <n x="470"/>
        <n x="93"/>
        <n x="408"/>
      </t>
    </mdx>
    <mdx n="0" f="v">
      <t c="3">
        <n x="113"/>
        <n x="87"/>
        <n x="408"/>
      </t>
    </mdx>
    <mdx n="0" f="v">
      <t c="3">
        <n x="471"/>
        <n x="13"/>
        <n x="408"/>
      </t>
    </mdx>
    <mdx n="0" f="v">
      <t c="3">
        <n x="121"/>
        <n x="87"/>
        <n x="408"/>
      </t>
    </mdx>
    <mdx n="0" f="v">
      <t c="3">
        <n x="472"/>
        <n x="70"/>
        <n x="408"/>
      </t>
    </mdx>
    <mdx n="0" f="v">
      <t c="3">
        <n x="129"/>
        <n x="9"/>
        <n x="408"/>
      </t>
    </mdx>
    <mdx n="0" f="v">
      <t c="3">
        <n x="473"/>
        <n x="85"/>
        <n x="408"/>
      </t>
    </mdx>
    <mdx n="0" f="v">
      <t c="3">
        <n x="137"/>
        <n x="93"/>
        <n x="408"/>
      </t>
    </mdx>
    <mdx n="0" f="v">
      <t c="3">
        <n x="474"/>
        <n x="4"/>
        <n x="408"/>
      </t>
    </mdx>
    <mdx n="0" f="v">
      <t c="3">
        <n x="145"/>
        <n x="13"/>
        <n x="408"/>
      </t>
    </mdx>
    <mdx n="0" f="v">
      <t c="3">
        <n x="475"/>
        <n x="74"/>
        <n x="408"/>
      </t>
    </mdx>
    <mdx n="0" f="v">
      <t c="3">
        <n x="153"/>
        <n x="4"/>
        <n x="408"/>
      </t>
    </mdx>
    <mdx n="0" f="v">
      <t c="3">
        <n x="476"/>
        <n x="4"/>
        <n x="408"/>
      </t>
    </mdx>
    <mdx n="0" f="v">
      <t c="3">
        <n x="161"/>
        <n x="63"/>
        <n x="408"/>
      </t>
    </mdx>
    <mdx n="0" f="v">
      <t c="3">
        <n x="477"/>
        <n x="70"/>
        <n x="408"/>
      </t>
    </mdx>
    <mdx n="0" f="v">
      <t c="3">
        <n x="169"/>
        <n x="4"/>
        <n x="408"/>
      </t>
    </mdx>
    <mdx n="0" f="v">
      <t c="3">
        <n x="478"/>
        <n x="11"/>
        <n x="408"/>
      </t>
    </mdx>
    <mdx n="0" f="v">
      <t c="3">
        <n x="177"/>
        <n x="74"/>
        <n x="408"/>
      </t>
    </mdx>
    <mdx n="0" f="v">
      <t c="3">
        <n x="479"/>
        <n x="85"/>
        <n x="408"/>
      </t>
    </mdx>
    <mdx n="0" f="v">
      <t c="3">
        <n x="185"/>
        <n x="87"/>
        <n x="408"/>
      </t>
    </mdx>
    <mdx n="0" f="v">
      <t c="3">
        <n x="480"/>
        <n x="13"/>
        <n x="408"/>
      </t>
    </mdx>
    <mdx n="0" f="v">
      <t c="3">
        <n x="193"/>
        <n x="13"/>
        <n x="408"/>
      </t>
    </mdx>
    <mdx n="0" f="v">
      <t c="3">
        <n x="481"/>
        <n x="7"/>
        <n x="408"/>
      </t>
    </mdx>
    <mdx n="0" f="v">
      <t c="3">
        <n x="201"/>
        <n x="9"/>
        <n x="408"/>
      </t>
    </mdx>
    <mdx n="0" f="v">
      <t c="3">
        <n x="482"/>
        <n x="93"/>
        <n x="408"/>
      </t>
    </mdx>
    <mdx n="0" f="v">
      <t c="3">
        <n x="209"/>
        <n x="70"/>
        <n x="408"/>
      </t>
    </mdx>
    <mdx n="0" f="v">
      <t c="3">
        <n x="483"/>
        <n x="13"/>
        <n x="408"/>
      </t>
    </mdx>
    <mdx n="0" f="v">
      <t c="3">
        <n x="217"/>
        <n x="11"/>
        <n x="408"/>
      </t>
    </mdx>
    <mdx n="0" f="v">
      <t c="3">
        <n x="484"/>
        <n x="7"/>
        <n x="408"/>
      </t>
    </mdx>
    <mdx n="0" f="v">
      <t c="3">
        <n x="225"/>
        <n x="9"/>
        <n x="408"/>
      </t>
    </mdx>
    <mdx n="0" f="v">
      <t c="3">
        <n x="485"/>
        <n x="2"/>
        <n x="408"/>
      </t>
    </mdx>
    <mdx n="0" f="v">
      <t c="3">
        <n x="233"/>
        <n x="13"/>
        <n x="408"/>
      </t>
    </mdx>
    <mdx n="0" f="v">
      <t c="3">
        <n x="486"/>
        <n x="74"/>
        <n x="408"/>
      </t>
    </mdx>
    <mdx n="0" f="v">
      <t c="3">
        <n x="241"/>
        <n x="9"/>
        <n x="408"/>
      </t>
    </mdx>
    <mdx n="0" f="v">
      <t c="3">
        <n x="487"/>
        <n x="93"/>
        <n x="408"/>
      </t>
    </mdx>
    <mdx n="0" f="v">
      <t c="3">
        <n x="249"/>
        <n x="93"/>
        <n x="408"/>
      </t>
    </mdx>
    <mdx n="0" f="v">
      <t c="3">
        <n x="488"/>
        <n x="87"/>
        <n x="408"/>
      </t>
    </mdx>
    <mdx n="0" f="v">
      <t c="3">
        <n x="257"/>
        <n x="70"/>
        <n x="408"/>
      </t>
    </mdx>
    <mdx n="0" f="v">
      <t c="3">
        <n x="489"/>
        <n x="74"/>
        <n x="408"/>
      </t>
    </mdx>
    <mdx n="0" f="v">
      <t c="3">
        <n x="265"/>
        <n x="63"/>
        <n x="408"/>
      </t>
    </mdx>
    <mdx n="0" f="v">
      <t c="3">
        <n x="490"/>
        <n x="85"/>
        <n x="408"/>
      </t>
    </mdx>
    <mdx n="0" f="v">
      <t c="3">
        <n x="273"/>
        <n x="93"/>
        <n x="408"/>
      </t>
    </mdx>
    <mdx n="0" f="v">
      <t c="3">
        <n x="491"/>
        <n x="87"/>
        <n x="408"/>
      </t>
    </mdx>
    <mdx n="0" f="v">
      <t c="3">
        <n x="492"/>
        <n x="87"/>
        <n x="408"/>
      </t>
    </mdx>
    <mdx n="0" f="v">
      <t c="3">
        <n x="493"/>
        <n x="4"/>
        <n x="408"/>
      </t>
    </mdx>
    <mdx n="0" f="v">
      <t c="3">
        <n x="494"/>
        <n x="4"/>
        <n x="408"/>
      </t>
    </mdx>
    <mdx n="0" f="v">
      <t c="3">
        <n x="495"/>
        <n x="2"/>
        <n x="408"/>
      </t>
    </mdx>
    <mdx n="0" f="v">
      <t c="3">
        <n x="496"/>
        <n x="13"/>
        <n x="408"/>
      </t>
    </mdx>
    <mdx n="0" f="v">
      <t c="3">
        <n x="497"/>
        <n x="11"/>
        <n x="408"/>
      </t>
    </mdx>
    <mdx n="0" f="v">
      <t c="3">
        <n x="498"/>
        <n x="74"/>
        <n x="408"/>
      </t>
    </mdx>
    <mdx n="0" f="v">
      <t c="3">
        <n x="499"/>
        <n x="9"/>
        <n x="408"/>
      </t>
    </mdx>
    <mdx n="0" f="v">
      <t c="3">
        <n x="500"/>
        <n x="63"/>
        <n x="408"/>
      </t>
    </mdx>
    <mdx n="0" f="v">
      <t c="3">
        <n x="501"/>
        <n x="63"/>
        <n x="408"/>
      </t>
    </mdx>
    <mdx n="0" f="v">
      <t c="3">
        <n x="502"/>
        <n x="85"/>
        <n x="408"/>
      </t>
    </mdx>
    <mdx n="0" f="v">
      <t c="3">
        <n x="503"/>
        <n x="93"/>
        <n x="408"/>
      </t>
    </mdx>
    <mdx n="0" f="v">
      <t c="3">
        <n x="504"/>
        <n x="87"/>
        <n x="408"/>
      </t>
    </mdx>
    <mdx n="0" f="v">
      <t c="3">
        <n x="505"/>
        <n x="70"/>
        <n x="408"/>
      </t>
    </mdx>
    <mdx n="0" f="v">
      <t c="3">
        <n x="406"/>
        <n x="87"/>
        <n x="408"/>
      </t>
    </mdx>
    <mdx n="0" f="v">
      <t c="3">
        <n x="404"/>
        <n x="93"/>
        <n x="408"/>
      </t>
    </mdx>
    <mdx n="0" f="v">
      <t c="3">
        <n x="403"/>
        <n x="93"/>
        <n x="408"/>
      </t>
    </mdx>
    <mdx n="0" f="v">
      <t c="3">
        <n x="402"/>
        <n x="85"/>
        <n x="408"/>
      </t>
    </mdx>
    <mdx n="0" f="v">
      <t c="3">
        <n x="400"/>
        <n x="63"/>
        <n x="408"/>
      </t>
    </mdx>
    <mdx n="0" f="v">
      <t c="3">
        <n x="398"/>
        <n x="63"/>
        <n x="408"/>
      </t>
    </mdx>
    <mdx n="0" f="v">
      <t c="3">
        <n x="396"/>
        <n x="63"/>
        <n x="408"/>
      </t>
    </mdx>
    <mdx n="0" f="v">
      <t c="3">
        <n x="395"/>
        <n x="9"/>
        <n x="408"/>
      </t>
    </mdx>
    <mdx n="0" f="v">
      <t c="3">
        <n x="393"/>
        <n x="11"/>
        <n x="408"/>
      </t>
    </mdx>
    <mdx n="0" f="v">
      <t c="3">
        <n x="392"/>
        <n x="11"/>
        <n x="408"/>
      </t>
    </mdx>
    <mdx n="0" f="v">
      <t c="3">
        <n x="391"/>
        <n x="11"/>
        <n x="408"/>
      </t>
    </mdx>
    <mdx n="0" f="v">
      <t c="3">
        <n x="390"/>
        <n x="13"/>
        <n x="408"/>
      </t>
    </mdx>
    <mdx n="0" f="v">
      <t c="3">
        <n x="387"/>
        <n x="2"/>
        <n x="408"/>
      </t>
    </mdx>
    <mdx n="0" f="v">
      <t c="3">
        <n x="385"/>
        <n x="4"/>
        <n x="408"/>
      </t>
    </mdx>
    <mdx n="0" f="v">
      <t c="3">
        <n x="384"/>
        <n x="4"/>
        <n x="408"/>
      </t>
    </mdx>
    <mdx n="0" f="v">
      <t c="3">
        <n x="382"/>
        <n x="70"/>
        <n x="408"/>
      </t>
    </mdx>
    <mdx n="0" f="v">
      <t c="3">
        <n x="380"/>
        <n x="87"/>
        <n x="408"/>
      </t>
    </mdx>
    <mdx n="0" f="v">
      <t c="3">
        <n x="379"/>
        <n x="87"/>
        <n x="408"/>
      </t>
    </mdx>
    <mdx n="0" f="v">
      <t c="3">
        <n x="377"/>
        <n x="93"/>
        <n x="408"/>
      </t>
    </mdx>
    <mdx n="0" f="v">
      <t c="3">
        <n x="271"/>
        <n x="93"/>
        <n x="408"/>
      </t>
    </mdx>
    <mdx n="0" f="v">
      <t c="3">
        <n x="375"/>
        <n x="85"/>
        <n x="408"/>
      </t>
    </mdx>
    <mdx n="0" f="v">
      <t c="3">
        <n x="267"/>
        <n x="63"/>
        <n x="408"/>
      </t>
    </mdx>
    <mdx n="0" f="v">
      <t c="3">
        <n x="373"/>
        <n x="7"/>
        <n x="408"/>
      </t>
    </mdx>
    <mdx n="0" f="v">
      <t c="3">
        <n x="371"/>
        <n x="4"/>
        <n x="408"/>
      </t>
    </mdx>
    <mdx n="0" f="v">
      <t c="3">
        <n x="259"/>
        <n x="4"/>
        <n x="408"/>
      </t>
    </mdx>
    <mdx n="0" f="v">
      <t c="3">
        <n x="369"/>
        <n x="70"/>
        <n x="408"/>
      </t>
    </mdx>
    <mdx n="0" f="v">
      <t c="3">
        <n x="255"/>
        <n x="70"/>
        <n x="408"/>
      </t>
    </mdx>
    <mdx n="0" f="v">
      <t c="3">
        <n x="367"/>
        <n x="87"/>
        <n x="408"/>
      </t>
    </mdx>
    <mdx n="0" f="v">
      <t c="3">
        <n x="251"/>
        <n x="87"/>
        <n x="408"/>
      </t>
    </mdx>
    <mdx n="0" f="v">
      <t c="3">
        <n x="365"/>
        <n x="93"/>
        <n x="408"/>
      </t>
    </mdx>
    <mdx n="0" f="v">
      <t c="3">
        <n x="247"/>
        <n x="93"/>
        <n x="408"/>
      </t>
    </mdx>
    <mdx n="0" f="v">
      <t c="3">
        <n x="363"/>
        <n x="85"/>
        <n x="408"/>
      </t>
    </mdx>
    <mdx n="0" f="v">
      <t c="3">
        <n x="243"/>
        <n x="63"/>
        <n x="408"/>
      </t>
    </mdx>
    <mdx n="0" f="v">
      <t c="3">
        <n x="361"/>
        <n x="9"/>
        <n x="408"/>
      </t>
    </mdx>
    <mdx n="0" f="v">
      <t c="3">
        <n x="239"/>
        <n x="7"/>
        <n x="408"/>
      </t>
    </mdx>
    <mdx n="0" f="v">
      <t c="3">
        <n x="359"/>
        <n x="74"/>
        <n x="408"/>
      </t>
    </mdx>
    <mdx n="0" f="v">
      <t c="3">
        <n x="235"/>
        <n x="74"/>
        <n x="408"/>
      </t>
    </mdx>
    <mdx n="0" f="v">
      <t c="3">
        <n x="357"/>
        <n x="13"/>
        <n x="408"/>
      </t>
    </mdx>
    <mdx n="0" f="v">
      <t c="3">
        <n x="231"/>
        <n x="2"/>
        <n x="408"/>
      </t>
    </mdx>
    <mdx n="0" f="v">
      <t c="3">
        <n x="355"/>
        <n x="70"/>
        <n x="408"/>
      </t>
    </mdx>
    <mdx n="0" f="v">
      <t c="3">
        <n x="227"/>
        <n x="93"/>
        <n x="408"/>
      </t>
    </mdx>
    <mdx n="0" f="v">
      <t c="3">
        <n x="353"/>
        <n x="7"/>
        <n x="408"/>
      </t>
    </mdx>
    <mdx n="0" f="v">
      <t c="3">
        <n x="223"/>
        <n x="7"/>
        <n x="408"/>
      </t>
    </mdx>
    <mdx n="0" f="v">
      <t c="3">
        <n x="351"/>
        <n x="74"/>
        <n x="408"/>
      </t>
    </mdx>
    <mdx n="0" f="v">
      <t c="3">
        <n x="219"/>
        <n x="74"/>
        <n x="408"/>
      </t>
    </mdx>
    <mdx n="0" f="v">
      <t c="3">
        <n x="349"/>
        <n x="11"/>
        <n x="408"/>
      </t>
    </mdx>
    <mdx n="0" f="v">
      <t c="3">
        <n x="215"/>
        <n x="11"/>
        <n x="408"/>
      </t>
    </mdx>
    <mdx n="0" f="v">
      <t c="3">
        <n x="347"/>
        <n x="4"/>
        <n x="408"/>
      </t>
    </mdx>
    <mdx n="0" f="v">
      <t c="3">
        <n x="211"/>
        <n x="70"/>
        <n x="408"/>
      </t>
    </mdx>
    <mdx n="0" f="v">
      <t c="3">
        <n x="345"/>
        <n x="87"/>
        <n x="408"/>
      </t>
    </mdx>
    <mdx n="0" f="v">
      <t c="3">
        <n x="207"/>
        <n x="93"/>
        <n x="408"/>
      </t>
    </mdx>
    <mdx n="0" f="v">
      <t c="3">
        <n x="343"/>
        <n x="85"/>
        <n x="408"/>
      </t>
    </mdx>
    <mdx n="0" f="v">
      <t c="3">
        <n x="203"/>
        <n x="63"/>
        <n x="408"/>
      </t>
    </mdx>
    <mdx n="0" f="v">
      <t c="3">
        <n x="341"/>
        <n x="9"/>
        <n x="408"/>
      </t>
    </mdx>
    <mdx n="0" f="v">
      <t c="3">
        <n x="199"/>
        <n x="7"/>
        <n x="408"/>
      </t>
    </mdx>
    <mdx n="0" f="v">
      <t c="3">
        <n x="339"/>
        <n x="74"/>
        <n x="408"/>
      </t>
    </mdx>
    <mdx n="0" f="v">
      <t c="3">
        <n x="195"/>
        <n x="11"/>
        <n x="408"/>
      </t>
    </mdx>
    <mdx n="0" f="v">
      <t c="3">
        <n x="337"/>
        <n x="13"/>
        <n x="408"/>
      </t>
    </mdx>
    <mdx n="0" f="v">
      <t c="3">
        <n x="191"/>
        <n x="13"/>
        <n x="408"/>
      </t>
    </mdx>
    <mdx n="0" f="v">
      <t c="3">
        <n x="335"/>
        <n x="2"/>
        <n x="408"/>
      </t>
    </mdx>
    <mdx n="0" f="v">
      <t c="3">
        <n x="187"/>
        <n x="70"/>
        <n x="408"/>
      </t>
    </mdx>
    <mdx n="0" f="v">
      <t c="3">
        <n x="333"/>
        <n x="87"/>
        <n x="408"/>
      </t>
    </mdx>
    <mdx n="0" f="v">
      <t c="3">
        <n x="183"/>
        <n x="93"/>
        <n x="408"/>
      </t>
    </mdx>
    <mdx n="0" f="v">
      <t c="3">
        <n x="331"/>
        <n x="9"/>
        <n x="408"/>
      </t>
    </mdx>
    <mdx n="0" f="v">
      <t c="3">
        <n x="179"/>
        <n x="74"/>
        <n x="408"/>
      </t>
    </mdx>
    <mdx n="0" f="v">
      <t c="3">
        <n x="329"/>
        <n x="11"/>
        <n x="408"/>
      </t>
    </mdx>
    <mdx n="0" f="v">
      <t c="3">
        <n x="175"/>
        <n x="11"/>
        <n x="408"/>
      </t>
    </mdx>
    <mdx n="0" f="v">
      <t c="3">
        <n x="327"/>
        <n x="13"/>
        <n x="408"/>
      </t>
    </mdx>
    <mdx n="0" f="v">
      <t c="3">
        <n x="171"/>
        <n x="13"/>
        <n x="408"/>
      </t>
    </mdx>
    <mdx n="0" f="v">
      <t c="3">
        <n x="325"/>
        <n x="70"/>
        <n x="408"/>
      </t>
    </mdx>
    <mdx n="0" f="v">
      <t c="3">
        <n x="167"/>
        <n x="70"/>
        <n x="408"/>
      </t>
    </mdx>
    <mdx n="0" f="v">
      <t c="3">
        <n x="323"/>
        <n x="93"/>
        <n x="408"/>
      </t>
    </mdx>
    <mdx n="0" f="v">
      <t c="3">
        <n x="163"/>
        <n x="85"/>
        <n x="408"/>
      </t>
    </mdx>
    <mdx n="0" f="v">
      <t c="3">
        <n x="321"/>
        <n x="63"/>
        <n x="408"/>
      </t>
    </mdx>
    <mdx n="0" f="v">
      <t c="3">
        <n x="159"/>
        <n x="63"/>
        <n x="408"/>
      </t>
    </mdx>
    <mdx n="0" f="v">
      <t c="3">
        <n x="319"/>
        <n x="9"/>
        <n x="408"/>
      </t>
    </mdx>
    <mdx n="0" f="v">
      <t c="3">
        <n x="155"/>
        <n x="7"/>
        <n x="408"/>
      </t>
    </mdx>
    <mdx n="0" f="v">
      <t c="3">
        <n x="317"/>
        <n x="7"/>
        <n x="408"/>
      </t>
    </mdx>
    <mdx n="0" f="v">
      <t c="3">
        <n x="151"/>
        <n x="74"/>
        <n x="408"/>
      </t>
    </mdx>
    <mdx n="0" f="v">
      <t c="3">
        <n x="315"/>
        <n x="11"/>
        <n x="408"/>
      </t>
    </mdx>
    <mdx n="0" f="v">
      <t c="3">
        <n x="147"/>
        <n x="11"/>
        <n x="408"/>
      </t>
    </mdx>
    <mdx n="0" f="v">
      <t c="3">
        <n x="313"/>
        <n x="13"/>
        <n x="408"/>
      </t>
    </mdx>
    <mdx n="0" f="v">
      <t c="3">
        <n x="143"/>
        <n x="4"/>
        <n x="408"/>
      </t>
    </mdx>
    <mdx n="0" f="v">
      <t c="3">
        <n x="311"/>
        <n x="70"/>
        <n x="408"/>
      </t>
    </mdx>
    <mdx n="0" f="v">
      <t c="3">
        <n x="139"/>
        <n x="87"/>
        <n x="408"/>
      </t>
    </mdx>
    <mdx n="0" f="v">
      <t c="3">
        <n x="309"/>
        <n x="93"/>
        <n x="408"/>
      </t>
    </mdx>
    <mdx n="0" f="v">
      <t c="3">
        <n x="135"/>
        <n x="93"/>
        <n x="408"/>
      </t>
    </mdx>
    <mdx n="0" f="v">
      <t c="3">
        <n x="307"/>
        <n x="63"/>
        <n x="408"/>
      </t>
    </mdx>
    <mdx n="0" f="v">
      <t c="3">
        <n x="131"/>
        <n x="63"/>
        <n x="408"/>
      </t>
    </mdx>
    <mdx n="0" f="v">
      <t c="3">
        <n x="305"/>
        <n x="7"/>
        <n x="408"/>
      </t>
    </mdx>
    <mdx n="0" f="v">
      <t c="3">
        <n x="127"/>
        <n x="74"/>
        <n x="408"/>
      </t>
    </mdx>
    <mdx n="0" f="v">
      <t c="3">
        <n x="303"/>
        <n x="74"/>
        <n x="408"/>
      </t>
    </mdx>
    <mdx n="0" f="v">
      <t c="3">
        <n x="123"/>
        <n x="11"/>
        <n x="408"/>
      </t>
    </mdx>
    <mdx n="0" f="v">
      <t c="3">
        <n x="301"/>
        <n x="13"/>
        <n x="408"/>
      </t>
    </mdx>
    <mdx n="0" f="v">
      <t c="3">
        <n x="119"/>
        <n x="13"/>
        <n x="408"/>
      </t>
    </mdx>
    <mdx n="0" f="v">
      <t c="3">
        <n x="299"/>
        <n x="2"/>
        <n x="408"/>
      </t>
    </mdx>
    <mdx n="0" f="v">
      <t c="3">
        <n x="115"/>
        <n x="2"/>
        <n x="408"/>
      </t>
    </mdx>
    <mdx n="0" f="v">
      <t c="3">
        <n x="297"/>
        <n x="87"/>
        <n x="408"/>
      </t>
    </mdx>
    <mdx n="0" f="v">
      <t c="3">
        <n x="111"/>
        <n x="93"/>
        <n x="408"/>
      </t>
    </mdx>
    <mdx n="0" f="v">
      <t c="3">
        <n x="295"/>
        <n x="85"/>
        <n x="408"/>
      </t>
    </mdx>
    <mdx n="0" f="v">
      <t c="3">
        <n x="107"/>
        <n x="63"/>
        <n x="408"/>
      </t>
    </mdx>
    <mdx n="0" f="v">
      <t c="3">
        <n x="293"/>
        <n x="9"/>
        <n x="408"/>
      </t>
    </mdx>
    <mdx n="0" f="v">
      <t c="3">
        <n x="103"/>
        <n x="7"/>
        <n x="408"/>
      </t>
    </mdx>
    <mdx n="0" f="v">
      <t c="3">
        <n x="291"/>
        <n x="74"/>
        <n x="408"/>
      </t>
    </mdx>
    <mdx n="0" f="v">
      <t c="3">
        <n x="99"/>
        <n x="74"/>
        <n x="408"/>
      </t>
    </mdx>
    <mdx n="0" f="v">
      <t c="3">
        <n x="289"/>
        <n x="13"/>
        <n x="408"/>
      </t>
    </mdx>
    <mdx n="0" f="v">
      <t c="3">
        <n x="95"/>
        <n x="2"/>
        <n x="408"/>
      </t>
    </mdx>
    <mdx n="0" f="v">
      <t c="3">
        <n x="58"/>
        <n x="85"/>
        <n x="408"/>
      </t>
    </mdx>
    <mdx n="0" f="v">
      <t c="3">
        <n x="56"/>
        <n x="74"/>
        <n x="408"/>
      </t>
    </mdx>
    <mdx n="0" f="v">
      <t c="3">
        <n x="49"/>
        <n x="93"/>
        <n x="408"/>
      </t>
    </mdx>
    <mdx n="0" f="v">
      <t c="3">
        <n x="285"/>
        <n x="93"/>
        <n x="408"/>
      </t>
    </mdx>
    <mdx n="0" f="v">
      <t c="3">
        <n x="84"/>
        <n x="85"/>
        <n x="408"/>
      </t>
    </mdx>
    <mdx n="0" f="v">
      <t c="3">
        <n x="42"/>
        <n x="7"/>
        <n x="408"/>
      </t>
    </mdx>
    <mdx n="0" f="v">
      <t c="3">
        <n x="40"/>
        <n x="74"/>
        <n x="408"/>
      </t>
    </mdx>
    <mdx n="0" f="v">
      <t c="3">
        <n x="33"/>
        <n x="9"/>
        <n x="408"/>
      </t>
    </mdx>
    <mdx n="0" f="v">
      <t c="3">
        <n x="281"/>
        <n x="9"/>
        <n x="408"/>
      </t>
    </mdx>
    <mdx n="0" f="v">
      <t c="3">
        <n x="76"/>
        <n x="7"/>
        <n x="408"/>
      </t>
    </mdx>
    <mdx n="0" f="v">
      <t c="3">
        <n x="26"/>
        <n x="11"/>
        <n x="408"/>
      </t>
    </mdx>
    <mdx n="0" f="v">
      <t c="3">
        <n x="24"/>
        <n x="2"/>
        <n x="408"/>
      </t>
    </mdx>
    <mdx n="0" f="v">
      <t c="3">
        <n x="17"/>
        <n x="70"/>
        <n x="408"/>
      </t>
    </mdx>
    <mdx n="0" f="v">
      <t c="3">
        <n x="277"/>
        <n x="2"/>
        <n x="408"/>
      </t>
    </mdx>
    <mdx n="0" f="v">
      <t c="3">
        <n x="275"/>
        <n x="4"/>
        <n x="408"/>
      </t>
    </mdx>
    <mdx n="0" f="v">
      <t c="3">
        <n x="94"/>
        <n x="70"/>
        <n x="408"/>
      </t>
    </mdx>
    <mdx n="0" f="v">
      <t c="3">
        <n x="59"/>
        <n x="93"/>
        <n x="408"/>
      </t>
    </mdx>
    <mdx n="0" f="v">
      <t c="3">
        <n x="91"/>
        <n x="9"/>
        <n x="408"/>
      </t>
    </mdx>
    <mdx n="0" f="v">
      <t c="3">
        <n x="55"/>
        <n x="74"/>
        <n x="408"/>
      </t>
    </mdx>
    <mdx n="0" f="v">
      <t c="3">
        <n x="89"/>
        <n x="13"/>
        <n x="408"/>
      </t>
    </mdx>
    <mdx n="0" f="v">
      <t c="3">
        <n x="51"/>
        <n x="2"/>
        <n x="408"/>
      </t>
    </mdx>
    <mdx n="0" f="v">
      <t c="3">
        <n x="86"/>
        <n x="87"/>
        <n x="408"/>
      </t>
    </mdx>
    <mdx n="0" f="v">
      <t c="3">
        <n x="47"/>
        <n x="85"/>
        <n x="408"/>
      </t>
    </mdx>
    <mdx n="0" f="v">
      <t c="3">
        <n x="83"/>
        <n x="63"/>
        <n x="408"/>
      </t>
    </mdx>
    <mdx n="0" f="v">
      <t c="3">
        <n x="43"/>
        <n x="63"/>
        <n x="408"/>
      </t>
    </mdx>
    <mdx n="0" f="v">
      <t c="3">
        <n x="81"/>
        <n x="74"/>
        <n x="408"/>
      </t>
    </mdx>
    <mdx n="0" f="v">
      <t c="3">
        <n x="39"/>
        <n x="11"/>
        <n x="408"/>
      </t>
    </mdx>
    <mdx n="0" f="v">
      <t c="3">
        <n x="79"/>
        <n x="11"/>
        <n x="408"/>
      </t>
    </mdx>
    <mdx n="0" f="v">
      <t c="3">
        <n x="35"/>
        <n x="2"/>
        <n x="408"/>
      </t>
    </mdx>
    <mdx n="0" f="v">
      <t c="3">
        <n x="77"/>
        <n x="9"/>
        <n x="408"/>
      </t>
    </mdx>
    <mdx n="0" f="v">
      <t c="3">
        <n x="31"/>
        <n x="9"/>
        <n x="408"/>
      </t>
    </mdx>
    <mdx n="0" f="v">
      <t c="3">
        <n x="75"/>
        <n x="74"/>
        <n x="408"/>
      </t>
    </mdx>
    <mdx n="0" f="v">
      <t c="3">
        <n x="27"/>
        <n x="74"/>
        <n x="408"/>
      </t>
    </mdx>
    <mdx n="0" f="v">
      <t c="3">
        <n x="72"/>
        <n x="13"/>
        <n x="408"/>
      </t>
    </mdx>
    <mdx n="0" f="v">
      <t c="3">
        <n x="23"/>
        <n x="4"/>
        <n x="408"/>
      </t>
    </mdx>
    <mdx n="0" f="v">
      <t c="3">
        <n x="69"/>
        <n x="70"/>
        <n x="408"/>
      </t>
    </mdx>
    <mdx n="0" f="v">
      <t c="3">
        <n x="19"/>
        <n x="4"/>
        <n x="408"/>
      </t>
    </mdx>
    <mdx n="0" f="v">
      <t c="3">
        <n x="67"/>
        <n x="4"/>
        <n x="408"/>
      </t>
    </mdx>
    <mdx n="0" f="v">
      <t c="3">
        <n x="15"/>
        <n x="2"/>
        <n x="408"/>
      </t>
    </mdx>
    <mdx n="0" f="v">
      <t c="3">
        <n x="66"/>
        <n x="11"/>
        <n x="408"/>
      </t>
    </mdx>
    <mdx n="0" f="v">
      <t c="3">
        <n x="65"/>
        <n x="9"/>
        <n x="408"/>
      </t>
    </mdx>
    <mdx n="0" f="v">
      <t c="3">
        <n x="64"/>
        <n x="4"/>
        <n x="408"/>
      </t>
    </mdx>
    <mdx n="0" f="v">
      <t c="3">
        <n x="62"/>
        <n x="63"/>
        <n x="408"/>
      </t>
    </mdx>
    <mdx n="0" f="v">
      <t c="3">
        <n x="5"/>
        <n x="4"/>
        <n x="408"/>
      </t>
    </mdx>
    <mdx n="0" f="v">
      <t c="2">
        <n x="14"/>
        <n x="408"/>
      </t>
    </mdx>
    <mdx n="0" f="v">
      <t c="3">
        <n x="10"/>
        <n x="11"/>
        <n x="408"/>
      </t>
    </mdx>
    <mdx n="0" f="v">
      <t c="3">
        <n x="8"/>
        <n x="9"/>
        <n x="408"/>
      </t>
    </mdx>
    <mdx n="0" f="v">
      <t c="3">
        <n x="6"/>
        <n x="7"/>
        <n x="408"/>
      </t>
    </mdx>
    <mdx n="0" f="v">
      <t c="3">
        <n x="3"/>
        <n x="4"/>
        <n x="408"/>
      </t>
    </mdx>
    <mdx n="0" f="v">
      <t c="3">
        <n x="1"/>
        <n x="2"/>
        <n x="408"/>
      </t>
    </mdx>
    <mdx n="0" f="m">
      <t c="1">
        <n x="4"/>
      </t>
    </mdx>
    <mdx n="0" f="m">
      <t c="1">
        <n x="70"/>
      </t>
    </mdx>
    <mdx n="0" f="m">
      <t c="1">
        <n x="87"/>
      </t>
    </mdx>
    <mdx n="0" f="m">
      <t c="1">
        <n x="93"/>
      </t>
    </mdx>
    <mdx n="0" f="m">
      <t c="1">
        <n x="85"/>
      </t>
    </mdx>
    <mdx n="0" f="m">
      <t c="1">
        <n x="63"/>
      </t>
    </mdx>
    <mdx n="0" f="m">
      <t c="1">
        <n x="9"/>
      </t>
    </mdx>
    <mdx n="0" f="m">
      <t c="1">
        <n x="7"/>
      </t>
    </mdx>
    <mdx n="0" f="m">
      <t c="1">
        <n x="74"/>
      </t>
    </mdx>
    <mdx n="0" f="m">
      <t c="1">
        <n x="11"/>
      </t>
    </mdx>
    <mdx n="0" f="m">
      <t c="1">
        <n x="13"/>
      </t>
    </mdx>
    <mdx n="0" f="m">
      <t c="1">
        <n x="2"/>
      </t>
    </mdx>
    <mdx n="0" f="m">
      <t c="1">
        <n x="541"/>
      </t>
    </mdx>
    <mdx n="0" f="m">
      <t c="1">
        <n x="542"/>
      </t>
    </mdx>
    <mdx n="0" f="m">
      <t c="1">
        <n x="543"/>
      </t>
    </mdx>
    <mdx n="0" f="m">
      <t c="1">
        <n x="544"/>
      </t>
    </mdx>
    <mdx n="0" f="m">
      <t c="1">
        <n x="545"/>
      </t>
    </mdx>
    <mdx n="0" f="m">
      <t c="1">
        <n x="546"/>
      </t>
    </mdx>
    <mdx n="0" f="v">
      <t c="3">
        <n x="408"/>
        <n x="542"/>
        <n x="74"/>
      </t>
    </mdx>
    <mdx n="0" f="v">
      <t c="3">
        <n x="408"/>
        <n x="542"/>
        <n x="85"/>
      </t>
    </mdx>
    <mdx n="0" f="v">
      <t c="3">
        <n x="408"/>
        <n x="542"/>
        <n x="4"/>
      </t>
    </mdx>
    <mdx n="0" f="v">
      <t c="3">
        <n x="408"/>
        <n x="543"/>
        <n x="11"/>
      </t>
    </mdx>
    <mdx n="0" f="v">
      <t c="3">
        <n x="408"/>
        <n x="543"/>
        <n x="63"/>
      </t>
    </mdx>
    <mdx n="0" f="v">
      <t c="3">
        <n x="408"/>
        <n x="543"/>
        <n x="70"/>
      </t>
    </mdx>
    <mdx n="0" f="v">
      <t c="3">
        <n x="408"/>
        <n x="541"/>
        <n x="13"/>
      </t>
    </mdx>
    <mdx n="0" f="v">
      <t c="3">
        <n x="408"/>
        <n x="541"/>
        <n x="9"/>
      </t>
    </mdx>
    <mdx n="0" f="v">
      <t c="3">
        <n x="408"/>
        <n x="541"/>
        <n x="87"/>
      </t>
    </mdx>
    <mdx n="0" f="v">
      <t c="3">
        <n x="408"/>
        <n x="544"/>
        <n x="13"/>
      </t>
    </mdx>
    <mdx n="0" f="v">
      <t c="3">
        <n x="408"/>
        <n x="544"/>
        <n x="87"/>
      </t>
    </mdx>
    <mdx n="0" f="v">
      <t c="3">
        <n x="408"/>
        <n x="542"/>
        <n x="7"/>
      </t>
    </mdx>
    <mdx n="0" f="v">
      <t c="3">
        <n x="408"/>
        <n x="542"/>
        <n x="93"/>
      </t>
    </mdx>
    <mdx n="0" f="v">
      <t c="3">
        <n x="408"/>
        <n x="543"/>
        <n x="74"/>
      </t>
    </mdx>
    <mdx n="0" f="v">
      <t c="3">
        <n x="408"/>
        <n x="543"/>
        <n x="4"/>
      </t>
    </mdx>
    <mdx n="0" f="v">
      <t c="3">
        <n x="408"/>
        <n x="541"/>
        <n x="63"/>
      </t>
    </mdx>
    <mdx n="0" f="v">
      <t c="3">
        <n x="408"/>
        <n x="545"/>
        <n x="13"/>
      </t>
    </mdx>
    <mdx n="0" f="v">
      <t c="3">
        <n x="408"/>
        <n x="545"/>
        <n x="87"/>
      </t>
    </mdx>
    <mdx n="0" f="v">
      <t c="3">
        <n x="408"/>
        <n x="542"/>
        <n x="546"/>
      </t>
    </mdx>
    <mdx n="0" f="v">
      <t c="3">
        <n x="408"/>
        <n x="544"/>
        <n x="11"/>
      </t>
    </mdx>
    <mdx n="0" f="v">
      <t c="3">
        <n x="408"/>
        <n x="544"/>
        <n x="70"/>
      </t>
    </mdx>
    <mdx n="0" f="v">
      <t c="3">
        <n x="408"/>
        <n x="542"/>
        <n x="13"/>
      </t>
    </mdx>
    <mdx n="0" f="v">
      <t c="3">
        <n x="408"/>
        <n x="542"/>
        <n x="87"/>
      </t>
    </mdx>
    <mdx n="0" f="v">
      <t c="3">
        <n x="408"/>
        <n x="543"/>
        <n x="7"/>
      </t>
    </mdx>
    <mdx n="0" f="v">
      <t c="3">
        <n x="408"/>
        <n x="541"/>
        <n x="546"/>
      </t>
    </mdx>
    <mdx n="0" f="v">
      <t c="3">
        <n x="408"/>
        <n x="541"/>
        <n x="85"/>
      </t>
    </mdx>
    <mdx n="0" f="v">
      <t c="3">
        <n x="408"/>
        <n x="545"/>
        <n x="11"/>
      </t>
    </mdx>
    <mdx n="0" f="v">
      <t c="3">
        <n x="408"/>
        <n x="545"/>
        <n x="70"/>
      </t>
    </mdx>
    <mdx n="0" f="v">
      <t c="3">
        <n x="408"/>
        <n x="545"/>
        <n x="63"/>
      </t>
    </mdx>
    <mdx n="0" f="v">
      <t c="3">
        <n x="408"/>
        <n x="541"/>
        <n x="4"/>
      </t>
    </mdx>
    <mdx n="0" f="v">
      <t c="3">
        <n x="408"/>
        <n x="541"/>
        <n x="74"/>
      </t>
    </mdx>
    <mdx n="0" f="v">
      <t c="3">
        <n x="408"/>
        <n x="543"/>
        <n x="93"/>
      </t>
    </mdx>
    <mdx n="0" f="v">
      <t c="3">
        <n x="408"/>
        <n x="543"/>
        <n x="2"/>
      </t>
    </mdx>
    <mdx n="0" f="v">
      <t c="3">
        <n x="408"/>
        <n x="542"/>
        <n x="9"/>
      </t>
    </mdx>
    <mdx n="0" f="v">
      <t c="3">
        <n x="408"/>
        <n x="544"/>
        <n x="63"/>
      </t>
    </mdx>
    <mdx n="0" f="v">
      <t c="3">
        <n x="408"/>
        <n x="545"/>
        <n x="9"/>
      </t>
    </mdx>
    <mdx n="0" f="v">
      <t c="3">
        <n x="408"/>
        <n x="541"/>
        <n x="70"/>
      </t>
    </mdx>
    <mdx n="0" f="v">
      <t c="3">
        <n x="408"/>
        <n x="541"/>
        <n x="11"/>
      </t>
    </mdx>
    <mdx n="0" f="v">
      <t c="3">
        <n x="408"/>
        <n x="543"/>
        <n x="85"/>
      </t>
    </mdx>
    <mdx n="0" f="v">
      <t c="3">
        <n x="408"/>
        <n x="543"/>
        <n x="546"/>
      </t>
    </mdx>
    <mdx n="0" f="v">
      <t c="3">
        <n x="408"/>
        <n x="542"/>
        <n x="2"/>
      </t>
    </mdx>
    <mdx n="0" f="v">
      <t c="3">
        <n x="408"/>
        <n x="544"/>
        <n x="9"/>
      </t>
    </mdx>
    <mdx n="0" f="v">
      <t c="3">
        <n x="408"/>
        <n x="545"/>
        <n x="4"/>
      </t>
    </mdx>
    <mdx n="0" f="v">
      <t c="3">
        <n x="408"/>
        <n x="545"/>
        <n x="85"/>
      </t>
    </mdx>
    <mdx n="0" f="v">
      <t c="3">
        <n x="408"/>
        <n x="545"/>
        <n x="74"/>
      </t>
    </mdx>
    <mdx n="0" f="v">
      <t c="3">
        <n x="408"/>
        <n x="545"/>
        <n x="546"/>
      </t>
    </mdx>
    <mdx n="0" f="v">
      <t c="3">
        <n x="408"/>
        <n x="541"/>
        <n x="93"/>
      </t>
    </mdx>
    <mdx n="0" f="v">
      <t c="3">
        <n x="408"/>
        <n x="541"/>
        <n x="7"/>
      </t>
    </mdx>
    <mdx n="0" f="v">
      <t c="3">
        <n x="408"/>
        <n x="541"/>
        <n x="2"/>
      </t>
    </mdx>
    <mdx n="0" f="v">
      <t c="3">
        <n x="408"/>
        <n x="543"/>
        <n x="87"/>
      </t>
    </mdx>
    <mdx n="0" f="v">
      <t c="3">
        <n x="408"/>
        <n x="543"/>
        <n x="9"/>
      </t>
    </mdx>
    <mdx n="0" f="v">
      <t c="3">
        <n x="408"/>
        <n x="543"/>
        <n x="13"/>
      </t>
    </mdx>
    <mdx n="0" f="v">
      <t c="3">
        <n x="408"/>
        <n x="542"/>
        <n x="70"/>
      </t>
    </mdx>
    <mdx n="0" f="v">
      <t c="3">
        <n x="408"/>
        <n x="542"/>
        <n x="63"/>
      </t>
    </mdx>
    <mdx n="0" f="v">
      <t c="3">
        <n x="408"/>
        <n x="542"/>
        <n x="11"/>
      </t>
    </mdx>
    <mdx n="0" f="v">
      <t c="3">
        <n x="408"/>
        <n x="544"/>
        <n x="4"/>
      </t>
    </mdx>
    <mdx n="0" f="v">
      <t c="3">
        <n x="408"/>
        <n x="544"/>
        <n x="85"/>
      </t>
    </mdx>
    <mdx n="0" f="v">
      <t c="3">
        <n x="408"/>
        <n x="544"/>
        <n x="74"/>
      </t>
    </mdx>
    <mdx n="0" f="v">
      <t c="3">
        <n x="408"/>
        <n x="544"/>
        <n x="546"/>
      </t>
    </mdx>
    <mdx n="0" f="v">
      <t c="3">
        <n x="408"/>
        <n x="544"/>
        <n x="93"/>
      </t>
    </mdx>
    <mdx n="0" f="v">
      <t c="3">
        <n x="408"/>
        <n x="544"/>
        <n x="7"/>
      </t>
    </mdx>
    <mdx n="0" f="v">
      <t c="3">
        <n x="408"/>
        <n x="544"/>
        <n x="2"/>
      </t>
    </mdx>
    <mdx n="0" f="v">
      <t c="3">
        <n x="408"/>
        <n x="545"/>
        <n x="93"/>
      </t>
    </mdx>
    <mdx n="0" f="v">
      <t c="3">
        <n x="408"/>
        <n x="545"/>
        <n x="7"/>
      </t>
    </mdx>
    <mdx n="0" f="v">
      <t c="3">
        <n x="408"/>
        <n x="545"/>
        <n x="2"/>
      </t>
    </mdx>
    <mdx n="0" f="m">
      <t c="1">
        <n x="547"/>
      </t>
    </mdx>
    <mdx n="0" f="v">
      <t c="3">
        <n x="547"/>
        <n x="544"/>
        <n x="2"/>
      </t>
    </mdx>
    <mdx n="0" f="v">
      <t c="3">
        <n x="547"/>
        <n x="544"/>
        <n x="7"/>
      </t>
    </mdx>
    <mdx n="0" f="v">
      <t c="3">
        <n x="547"/>
        <n x="544"/>
        <n x="93"/>
      </t>
    </mdx>
    <mdx n="0" f="v">
      <t c="3">
        <n x="547"/>
        <n x="542"/>
        <n x="546"/>
      </t>
    </mdx>
    <mdx n="0" f="v">
      <t c="3">
        <n x="547"/>
        <n x="542"/>
        <n x="74"/>
      </t>
    </mdx>
    <mdx n="0" f="v">
      <t c="3">
        <n x="547"/>
        <n x="542"/>
        <n x="85"/>
      </t>
    </mdx>
    <mdx n="0" f="v">
      <t c="3">
        <n x="547"/>
        <n x="542"/>
        <n x="4"/>
      </t>
    </mdx>
    <mdx n="0" f="v">
      <t c="3">
        <n x="547"/>
        <n x="543"/>
        <n x="11"/>
      </t>
    </mdx>
    <mdx n="0" f="v">
      <t c="3">
        <n x="547"/>
        <n x="543"/>
        <n x="63"/>
      </t>
    </mdx>
    <mdx n="0" f="v">
      <t c="3">
        <n x="547"/>
        <n x="543"/>
        <n x="70"/>
      </t>
    </mdx>
    <mdx n="0" f="v">
      <t c="3">
        <n x="547"/>
        <n x="541"/>
        <n x="13"/>
      </t>
    </mdx>
    <mdx n="0" f="v">
      <t c="3">
        <n x="547"/>
        <n x="541"/>
        <n x="9"/>
      </t>
    </mdx>
    <mdx n="0" f="v">
      <t c="3">
        <n x="547"/>
        <n x="541"/>
        <n x="87"/>
      </t>
    </mdx>
    <mdx n="0" f="v">
      <t c="3">
        <n x="547"/>
        <n x="545"/>
        <n x="2"/>
      </t>
    </mdx>
    <mdx n="0" f="v">
      <t c="3">
        <n x="547"/>
        <n x="545"/>
        <n x="7"/>
      </t>
    </mdx>
    <mdx n="0" f="v">
      <t c="3">
        <n x="547"/>
        <n x="545"/>
        <n x="93"/>
      </t>
    </mdx>
    <mdx n="0" f="v">
      <t c="3">
        <n x="547"/>
        <n x="544"/>
        <n x="13"/>
      </t>
    </mdx>
    <mdx n="0" f="v">
      <t c="3">
        <n x="547"/>
        <n x="542"/>
        <n x="7"/>
      </t>
    </mdx>
    <mdx n="0" f="v">
      <t c="3">
        <n x="547"/>
        <n x="543"/>
        <n x="546"/>
      </t>
    </mdx>
    <mdx n="0" f="v">
      <t c="3">
        <n x="547"/>
        <n x="541"/>
        <n x="11"/>
      </t>
    </mdx>
    <mdx n="0" f="v">
      <t c="3">
        <n x="547"/>
        <n x="541"/>
        <n x="63"/>
      </t>
    </mdx>
    <mdx n="0" f="v">
      <t c="3">
        <n x="547"/>
        <n x="545"/>
        <n x="13"/>
      </t>
    </mdx>
    <mdx n="0" f="v">
      <t c="3">
        <n x="547"/>
        <n x="545"/>
        <n x="87"/>
      </t>
    </mdx>
    <mdx n="0" f="v">
      <t c="3">
        <n x="547"/>
        <n x="544"/>
        <n x="11"/>
      </t>
    </mdx>
    <mdx n="0" f="v">
      <t c="3">
        <n x="547"/>
        <n x="545"/>
        <n x="70"/>
      </t>
    </mdx>
    <mdx n="0" f="v">
      <t c="3">
        <n x="547"/>
        <n x="545"/>
        <n x="63"/>
      </t>
    </mdx>
    <mdx n="0" f="v">
      <t c="3">
        <n x="547"/>
        <n x="545"/>
        <n x="11"/>
      </t>
    </mdx>
    <mdx n="0" f="v">
      <t c="3">
        <n x="547"/>
        <n x="541"/>
        <n x="4"/>
      </t>
    </mdx>
    <mdx n="0" f="v">
      <t c="3">
        <n x="547"/>
        <n x="541"/>
        <n x="85"/>
      </t>
    </mdx>
    <mdx n="0" f="v">
      <t c="3">
        <n x="547"/>
        <n x="541"/>
        <n x="74"/>
      </t>
    </mdx>
    <mdx n="0" f="v">
      <t c="3">
        <n x="547"/>
        <n x="541"/>
        <n x="546"/>
      </t>
    </mdx>
    <mdx n="0" f="v">
      <t c="3">
        <n x="547"/>
        <n x="543"/>
        <n x="93"/>
      </t>
    </mdx>
    <mdx n="0" f="v">
      <t c="3">
        <n x="547"/>
        <n x="543"/>
        <n x="7"/>
      </t>
    </mdx>
    <mdx n="0" f="v">
      <t c="3">
        <n x="547"/>
        <n x="543"/>
        <n x="2"/>
      </t>
    </mdx>
    <mdx n="0" f="v">
      <t c="3">
        <n x="547"/>
        <n x="542"/>
        <n x="87"/>
      </t>
    </mdx>
    <mdx n="0" f="v">
      <t c="3">
        <n x="547"/>
        <n x="542"/>
        <n x="9"/>
      </t>
    </mdx>
    <mdx n="0" f="v">
      <t c="3">
        <n x="547"/>
        <n x="542"/>
        <n x="13"/>
      </t>
    </mdx>
    <mdx n="0" f="v">
      <t c="3">
        <n x="547"/>
        <n x="544"/>
        <n x="70"/>
      </t>
    </mdx>
    <mdx n="0" f="v">
      <t c="3">
        <n x="547"/>
        <n x="544"/>
        <n x="63"/>
      </t>
    </mdx>
    <mdx n="0" f="v">
      <t c="3">
        <n x="547"/>
        <n x="545"/>
        <n x="9"/>
      </t>
    </mdx>
    <mdx n="0" f="v">
      <t c="3">
        <n x="547"/>
        <n x="541"/>
        <n x="70"/>
      </t>
    </mdx>
    <mdx n="0" f="v">
      <t c="3">
        <n x="547"/>
        <n x="543"/>
        <n x="4"/>
      </t>
    </mdx>
    <mdx n="0" f="v">
      <t c="3">
        <n x="547"/>
        <n x="543"/>
        <n x="85"/>
      </t>
    </mdx>
    <mdx n="0" f="v">
      <t c="3">
        <n x="547"/>
        <n x="543"/>
        <n x="74"/>
      </t>
    </mdx>
    <mdx n="0" f="v">
      <t c="3">
        <n x="547"/>
        <n x="542"/>
        <n x="93"/>
      </t>
    </mdx>
    <mdx n="0" f="v">
      <t c="3">
        <n x="547"/>
        <n x="542"/>
        <n x="2"/>
      </t>
    </mdx>
    <mdx n="0" f="v">
      <t c="3">
        <n x="547"/>
        <n x="544"/>
        <n x="87"/>
      </t>
    </mdx>
    <mdx n="0" f="v">
      <t c="3">
        <n x="547"/>
        <n x="544"/>
        <n x="9"/>
      </t>
    </mdx>
    <mdx n="0" f="v">
      <t c="3">
        <n x="547"/>
        <n x="545"/>
        <n x="4"/>
      </t>
    </mdx>
    <mdx n="0" f="v">
      <t c="3">
        <n x="547"/>
        <n x="545"/>
        <n x="85"/>
      </t>
    </mdx>
    <mdx n="0" f="v">
      <t c="3">
        <n x="547"/>
        <n x="545"/>
        <n x="74"/>
      </t>
    </mdx>
    <mdx n="0" f="v">
      <t c="3">
        <n x="547"/>
        <n x="545"/>
        <n x="546"/>
      </t>
    </mdx>
    <mdx n="0" f="v">
      <t c="3">
        <n x="547"/>
        <n x="541"/>
        <n x="93"/>
      </t>
    </mdx>
    <mdx n="0" f="v">
      <t c="3">
        <n x="547"/>
        <n x="541"/>
        <n x="7"/>
      </t>
    </mdx>
    <mdx n="0" f="v">
      <t c="3">
        <n x="547"/>
        <n x="541"/>
        <n x="2"/>
      </t>
    </mdx>
    <mdx n="0" f="v">
      <t c="3">
        <n x="547"/>
        <n x="543"/>
        <n x="87"/>
      </t>
    </mdx>
    <mdx n="0" f="v">
      <t c="3">
        <n x="547"/>
        <n x="543"/>
        <n x="9"/>
      </t>
    </mdx>
    <mdx n="0" f="v">
      <t c="3">
        <n x="547"/>
        <n x="543"/>
        <n x="13"/>
      </t>
    </mdx>
    <mdx n="0" f="v">
      <t c="3">
        <n x="547"/>
        <n x="542"/>
        <n x="70"/>
      </t>
    </mdx>
    <mdx n="0" f="v">
      <t c="3">
        <n x="547"/>
        <n x="542"/>
        <n x="63"/>
      </t>
    </mdx>
    <mdx n="0" f="v">
      <t c="3">
        <n x="547"/>
        <n x="542"/>
        <n x="11"/>
      </t>
    </mdx>
    <mdx n="0" f="v">
      <t c="3">
        <n x="547"/>
        <n x="544"/>
        <n x="4"/>
      </t>
    </mdx>
    <mdx n="0" f="v">
      <t c="3">
        <n x="547"/>
        <n x="544"/>
        <n x="85"/>
      </t>
    </mdx>
    <mdx n="0" f="v">
      <t c="3">
        <n x="547"/>
        <n x="544"/>
        <n x="74"/>
      </t>
    </mdx>
    <mdx n="0" f="v">
      <t c="3">
        <n x="547"/>
        <n x="544"/>
        <n x="546"/>
      </t>
    </mdx>
  </mdxMetadata>
  <valueMetadata count="1730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  <bk>
      <rc t="1" v="64"/>
    </bk>
    <bk>
      <rc t="1" v="65"/>
    </bk>
    <bk>
      <rc t="1" v="66"/>
    </bk>
    <bk>
      <rc t="1" v="67"/>
    </bk>
    <bk>
      <rc t="1" v="68"/>
    </bk>
    <bk>
      <rc t="1" v="69"/>
    </bk>
    <bk>
      <rc t="1" v="70"/>
    </bk>
    <bk>
      <rc t="1" v="71"/>
    </bk>
    <bk>
      <rc t="1" v="72"/>
    </bk>
    <bk>
      <rc t="1" v="73"/>
    </bk>
    <bk>
      <rc t="1" v="74"/>
    </bk>
    <bk>
      <rc t="1" v="75"/>
    </bk>
    <bk>
      <rc t="1" v="76"/>
    </bk>
    <bk>
      <rc t="1" v="77"/>
    </bk>
    <bk>
      <rc t="1" v="78"/>
    </bk>
    <bk>
      <rc t="1" v="79"/>
    </bk>
    <bk>
      <rc t="1" v="80"/>
    </bk>
    <bk>
      <rc t="1" v="81"/>
    </bk>
    <bk>
      <rc t="1" v="82"/>
    </bk>
    <bk>
      <rc t="1" v="83"/>
    </bk>
    <bk>
      <rc t="1" v="84"/>
    </bk>
    <bk>
      <rc t="1" v="85"/>
    </bk>
    <bk>
      <rc t="1" v="86"/>
    </bk>
    <bk>
      <rc t="1" v="87"/>
    </bk>
    <bk>
      <rc t="1" v="88"/>
    </bk>
    <bk>
      <rc t="1" v="89"/>
    </bk>
    <bk>
      <rc t="1" v="90"/>
    </bk>
    <bk>
      <rc t="1" v="91"/>
    </bk>
    <bk>
      <rc t="1" v="92"/>
    </bk>
    <bk>
      <rc t="1" v="93"/>
    </bk>
    <bk>
      <rc t="1" v="94"/>
    </bk>
    <bk>
      <rc t="1" v="95"/>
    </bk>
    <bk>
      <rc t="1" v="96"/>
    </bk>
    <bk>
      <rc t="1" v="97"/>
    </bk>
    <bk>
      <rc t="1" v="98"/>
    </bk>
    <bk>
      <rc t="1" v="99"/>
    </bk>
    <bk>
      <rc t="1" v="100"/>
    </bk>
    <bk>
      <rc t="1" v="101"/>
    </bk>
    <bk>
      <rc t="1" v="102"/>
    </bk>
    <bk>
      <rc t="1" v="103"/>
    </bk>
    <bk>
      <rc t="1" v="104"/>
    </bk>
    <bk>
      <rc t="1" v="105"/>
    </bk>
    <bk>
      <rc t="1" v="106"/>
    </bk>
    <bk>
      <rc t="1" v="107"/>
    </bk>
    <bk>
      <rc t="1" v="108"/>
    </bk>
    <bk>
      <rc t="1" v="109"/>
    </bk>
    <bk>
      <rc t="1" v="110"/>
    </bk>
    <bk>
      <rc t="1" v="111"/>
    </bk>
    <bk>
      <rc t="1" v="112"/>
    </bk>
    <bk>
      <rc t="1" v="113"/>
    </bk>
    <bk>
      <rc t="1" v="114"/>
    </bk>
    <bk>
      <rc t="1" v="115"/>
    </bk>
    <bk>
      <rc t="1" v="116"/>
    </bk>
    <bk>
      <rc t="1" v="117"/>
    </bk>
    <bk>
      <rc t="1" v="118"/>
    </bk>
    <bk>
      <rc t="1" v="119"/>
    </bk>
    <bk>
      <rc t="1" v="120"/>
    </bk>
    <bk>
      <rc t="1" v="121"/>
    </bk>
    <bk>
      <rc t="1" v="122"/>
    </bk>
    <bk>
      <rc t="1" v="123"/>
    </bk>
    <bk>
      <rc t="1" v="124"/>
    </bk>
    <bk>
      <rc t="1" v="125"/>
    </bk>
    <bk>
      <rc t="1" v="126"/>
    </bk>
    <bk>
      <rc t="1" v="127"/>
    </bk>
    <bk>
      <rc t="1" v="128"/>
    </bk>
    <bk>
      <rc t="1" v="129"/>
    </bk>
    <bk>
      <rc t="1" v="130"/>
    </bk>
    <bk>
      <rc t="1" v="131"/>
    </bk>
    <bk>
      <rc t="1" v="132"/>
    </bk>
    <bk>
      <rc t="1" v="133"/>
    </bk>
    <bk>
      <rc t="1" v="134"/>
    </bk>
    <bk>
      <rc t="1" v="135"/>
    </bk>
    <bk>
      <rc t="1" v="136"/>
    </bk>
    <bk>
      <rc t="1" v="137"/>
    </bk>
    <bk>
      <rc t="1" v="138"/>
    </bk>
    <bk>
      <rc t="1" v="139"/>
    </bk>
    <bk>
      <rc t="1" v="140"/>
    </bk>
    <bk>
      <rc t="1" v="141"/>
    </bk>
    <bk>
      <rc t="1" v="142"/>
    </bk>
    <bk>
      <rc t="1" v="143"/>
    </bk>
    <bk>
      <rc t="1" v="144"/>
    </bk>
    <bk>
      <rc t="1" v="145"/>
    </bk>
    <bk>
      <rc t="1" v="146"/>
    </bk>
    <bk>
      <rc t="1" v="147"/>
    </bk>
    <bk>
      <rc t="1" v="148"/>
    </bk>
    <bk>
      <rc t="1" v="149"/>
    </bk>
    <bk>
      <rc t="1" v="150"/>
    </bk>
    <bk>
      <rc t="1" v="151"/>
    </bk>
    <bk>
      <rc t="1" v="152"/>
    </bk>
    <bk>
      <rc t="1" v="153"/>
    </bk>
    <bk>
      <rc t="1" v="154"/>
    </bk>
    <bk>
      <rc t="1" v="155"/>
    </bk>
    <bk>
      <rc t="1" v="156"/>
    </bk>
    <bk>
      <rc t="1" v="157"/>
    </bk>
    <bk>
      <rc t="1" v="158"/>
    </bk>
    <bk>
      <rc t="1" v="159"/>
    </bk>
    <bk>
      <rc t="1" v="160"/>
    </bk>
    <bk>
      <rc t="1" v="161"/>
    </bk>
    <bk>
      <rc t="1" v="162"/>
    </bk>
    <bk>
      <rc t="1" v="163"/>
    </bk>
    <bk>
      <rc t="1" v="164"/>
    </bk>
    <bk>
      <rc t="1" v="165"/>
    </bk>
    <bk>
      <rc t="1" v="166"/>
    </bk>
    <bk>
      <rc t="1" v="167"/>
    </bk>
    <bk>
      <rc t="1" v="168"/>
    </bk>
    <bk>
      <rc t="1" v="169"/>
    </bk>
    <bk>
      <rc t="1" v="170"/>
    </bk>
    <bk>
      <rc t="1" v="171"/>
    </bk>
    <bk>
      <rc t="1" v="172"/>
    </bk>
    <bk>
      <rc t="1" v="173"/>
    </bk>
    <bk>
      <rc t="1" v="174"/>
    </bk>
    <bk>
      <rc t="1" v="175"/>
    </bk>
    <bk>
      <rc t="1" v="176"/>
    </bk>
    <bk>
      <rc t="1" v="177"/>
    </bk>
    <bk>
      <rc t="1" v="178"/>
    </bk>
    <bk>
      <rc t="1" v="179"/>
    </bk>
    <bk>
      <rc t="1" v="180"/>
    </bk>
    <bk>
      <rc t="1" v="181"/>
    </bk>
    <bk>
      <rc t="1" v="182"/>
    </bk>
    <bk>
      <rc t="1" v="183"/>
    </bk>
    <bk>
      <rc t="1" v="184"/>
    </bk>
    <bk>
      <rc t="1" v="185"/>
    </bk>
    <bk>
      <rc t="1" v="186"/>
    </bk>
    <bk>
      <rc t="1" v="187"/>
    </bk>
    <bk>
      <rc t="1" v="188"/>
    </bk>
    <bk>
      <rc t="1" v="189"/>
    </bk>
    <bk>
      <rc t="1" v="190"/>
    </bk>
    <bk>
      <rc t="1" v="191"/>
    </bk>
    <bk>
      <rc t="1" v="192"/>
    </bk>
    <bk>
      <rc t="1" v="193"/>
    </bk>
    <bk>
      <rc t="1" v="194"/>
    </bk>
    <bk>
      <rc t="1" v="195"/>
    </bk>
    <bk>
      <rc t="1" v="196"/>
    </bk>
    <bk>
      <rc t="1" v="197"/>
    </bk>
    <bk>
      <rc t="1" v="198"/>
    </bk>
    <bk>
      <rc t="1" v="199"/>
    </bk>
    <bk>
      <rc t="1" v="200"/>
    </bk>
    <bk>
      <rc t="1" v="201"/>
    </bk>
    <bk>
      <rc t="1" v="202"/>
    </bk>
    <bk>
      <rc t="1" v="203"/>
    </bk>
    <bk>
      <rc t="1" v="204"/>
    </bk>
    <bk>
      <rc t="1" v="205"/>
    </bk>
    <bk>
      <rc t="1" v="206"/>
    </bk>
    <bk>
      <rc t="1" v="207"/>
    </bk>
    <bk>
      <rc t="1" v="208"/>
    </bk>
    <bk>
      <rc t="1" v="209"/>
    </bk>
    <bk>
      <rc t="1" v="210"/>
    </bk>
    <bk>
      <rc t="1" v="211"/>
    </bk>
    <bk>
      <rc t="1" v="212"/>
    </bk>
    <bk>
      <rc t="1" v="213"/>
    </bk>
    <bk>
      <rc t="1" v="214"/>
    </bk>
    <bk>
      <rc t="1" v="215"/>
    </bk>
    <bk>
      <rc t="1" v="216"/>
    </bk>
    <bk>
      <rc t="1" v="217"/>
    </bk>
    <bk>
      <rc t="1" v="218"/>
    </bk>
    <bk>
      <rc t="1" v="219"/>
    </bk>
    <bk>
      <rc t="1" v="220"/>
    </bk>
    <bk>
      <rc t="1" v="221"/>
    </bk>
    <bk>
      <rc t="1" v="222"/>
    </bk>
    <bk>
      <rc t="1" v="223"/>
    </bk>
    <bk>
      <rc t="1" v="224"/>
    </bk>
    <bk>
      <rc t="1" v="225"/>
    </bk>
    <bk>
      <rc t="1" v="226"/>
    </bk>
    <bk>
      <rc t="1" v="227"/>
    </bk>
    <bk>
      <rc t="1" v="228"/>
    </bk>
    <bk>
      <rc t="1" v="229"/>
    </bk>
    <bk>
      <rc t="1" v="230"/>
    </bk>
    <bk>
      <rc t="1" v="231"/>
    </bk>
    <bk>
      <rc t="1" v="232"/>
    </bk>
    <bk>
      <rc t="1" v="233"/>
    </bk>
    <bk>
      <rc t="1" v="234"/>
    </bk>
    <bk>
      <rc t="1" v="235"/>
    </bk>
    <bk>
      <rc t="1" v="236"/>
    </bk>
    <bk>
      <rc t="1" v="237"/>
    </bk>
    <bk>
      <rc t="1" v="238"/>
    </bk>
    <bk>
      <rc t="1" v="239"/>
    </bk>
    <bk>
      <rc t="1" v="240"/>
    </bk>
    <bk>
      <rc t="1" v="241"/>
    </bk>
    <bk>
      <rc t="1" v="242"/>
    </bk>
    <bk>
      <rc t="1" v="243"/>
    </bk>
    <bk>
      <rc t="1" v="244"/>
    </bk>
    <bk>
      <rc t="1" v="245"/>
    </bk>
    <bk>
      <rc t="1" v="246"/>
    </bk>
    <bk>
      <rc t="1" v="247"/>
    </bk>
    <bk>
      <rc t="1" v="248"/>
    </bk>
    <bk>
      <rc t="1" v="249"/>
    </bk>
    <bk>
      <rc t="1" v="250"/>
    </bk>
    <bk>
      <rc t="1" v="251"/>
    </bk>
    <bk>
      <rc t="1" v="252"/>
    </bk>
    <bk>
      <rc t="1" v="253"/>
    </bk>
    <bk>
      <rc t="1" v="254"/>
    </bk>
    <bk>
      <rc t="1" v="255"/>
    </bk>
    <bk>
      <rc t="1" v="256"/>
    </bk>
    <bk>
      <rc t="1" v="257"/>
    </bk>
    <bk>
      <rc t="1" v="258"/>
    </bk>
    <bk>
      <rc t="1" v="259"/>
    </bk>
    <bk>
      <rc t="1" v="260"/>
    </bk>
    <bk>
      <rc t="1" v="261"/>
    </bk>
    <bk>
      <rc t="1" v="262"/>
    </bk>
    <bk>
      <rc t="1" v="263"/>
    </bk>
    <bk>
      <rc t="1" v="264"/>
    </bk>
    <bk>
      <rc t="1" v="265"/>
    </bk>
    <bk>
      <rc t="1" v="266"/>
    </bk>
    <bk>
      <rc t="1" v="267"/>
    </bk>
    <bk>
      <rc t="1" v="268"/>
    </bk>
    <bk>
      <rc t="1" v="269"/>
    </bk>
    <bk>
      <rc t="1" v="270"/>
    </bk>
    <bk>
      <rc t="1" v="271"/>
    </bk>
    <bk>
      <rc t="1" v="272"/>
    </bk>
    <bk>
      <rc t="1" v="273"/>
    </bk>
    <bk>
      <rc t="1" v="274"/>
    </bk>
    <bk>
      <rc t="1" v="275"/>
    </bk>
    <bk>
      <rc t="1" v="276"/>
    </bk>
    <bk>
      <rc t="1" v="277"/>
    </bk>
    <bk>
      <rc t="1" v="278"/>
    </bk>
    <bk>
      <rc t="1" v="279"/>
    </bk>
    <bk>
      <rc t="1" v="280"/>
    </bk>
    <bk>
      <rc t="1" v="281"/>
    </bk>
    <bk>
      <rc t="1" v="282"/>
    </bk>
    <bk>
      <rc t="1" v="283"/>
    </bk>
    <bk>
      <rc t="1" v="284"/>
    </bk>
    <bk>
      <rc t="1" v="285"/>
    </bk>
    <bk>
      <rc t="1" v="286"/>
    </bk>
    <bk>
      <rc t="1" v="287"/>
    </bk>
    <bk>
      <rc t="1" v="288"/>
    </bk>
    <bk>
      <rc t="1" v="289"/>
    </bk>
    <bk>
      <rc t="1" v="290"/>
    </bk>
    <bk>
      <rc t="1" v="291"/>
    </bk>
    <bk>
      <rc t="1" v="292"/>
    </bk>
    <bk>
      <rc t="1" v="293"/>
    </bk>
    <bk>
      <rc t="1" v="294"/>
    </bk>
    <bk>
      <rc t="1" v="295"/>
    </bk>
    <bk>
      <rc t="1" v="296"/>
    </bk>
    <bk>
      <rc t="1" v="297"/>
    </bk>
    <bk>
      <rc t="1" v="298"/>
    </bk>
    <bk>
      <rc t="1" v="299"/>
    </bk>
    <bk>
      <rc t="1" v="300"/>
    </bk>
    <bk>
      <rc t="1" v="301"/>
    </bk>
    <bk>
      <rc t="1" v="302"/>
    </bk>
    <bk>
      <rc t="1" v="303"/>
    </bk>
    <bk>
      <rc t="1" v="304"/>
    </bk>
    <bk>
      <rc t="1" v="305"/>
    </bk>
    <bk>
      <rc t="1" v="306"/>
    </bk>
    <bk>
      <rc t="1" v="307"/>
    </bk>
    <bk>
      <rc t="1" v="308"/>
    </bk>
    <bk>
      <rc t="1" v="309"/>
    </bk>
    <bk>
      <rc t="1" v="310"/>
    </bk>
    <bk>
      <rc t="1" v="311"/>
    </bk>
    <bk>
      <rc t="1" v="312"/>
    </bk>
    <bk>
      <rc t="1" v="313"/>
    </bk>
    <bk>
      <rc t="1" v="314"/>
    </bk>
    <bk>
      <rc t="1" v="315"/>
    </bk>
    <bk>
      <rc t="1" v="316"/>
    </bk>
    <bk>
      <rc t="1" v="317"/>
    </bk>
    <bk>
      <rc t="1" v="318"/>
    </bk>
    <bk>
      <rc t="1" v="319"/>
    </bk>
    <bk>
      <rc t="1" v="320"/>
    </bk>
    <bk>
      <rc t="1" v="321"/>
    </bk>
    <bk>
      <rc t="1" v="322"/>
    </bk>
    <bk>
      <rc t="1" v="323"/>
    </bk>
    <bk>
      <rc t="1" v="324"/>
    </bk>
    <bk>
      <rc t="1" v="325"/>
    </bk>
    <bk>
      <rc t="1" v="326"/>
    </bk>
    <bk>
      <rc t="1" v="327"/>
    </bk>
    <bk>
      <rc t="1" v="328"/>
    </bk>
    <bk>
      <rc t="1" v="329"/>
    </bk>
    <bk>
      <rc t="1" v="330"/>
    </bk>
    <bk>
      <rc t="1" v="331"/>
    </bk>
    <bk>
      <rc t="1" v="332"/>
    </bk>
    <bk>
      <rc t="1" v="333"/>
    </bk>
    <bk>
      <rc t="1" v="334"/>
    </bk>
    <bk>
      <rc t="1" v="335"/>
    </bk>
    <bk>
      <rc t="1" v="336"/>
    </bk>
    <bk>
      <rc t="1" v="337"/>
    </bk>
    <bk>
      <rc t="1" v="338"/>
    </bk>
    <bk>
      <rc t="1" v="339"/>
    </bk>
    <bk>
      <rc t="1" v="340"/>
    </bk>
    <bk>
      <rc t="1" v="341"/>
    </bk>
    <bk>
      <rc t="1" v="342"/>
    </bk>
    <bk>
      <rc t="1" v="343"/>
    </bk>
    <bk>
      <rc t="1" v="344"/>
    </bk>
    <bk>
      <rc t="1" v="345"/>
    </bk>
    <bk>
      <rc t="1" v="346"/>
    </bk>
    <bk>
      <rc t="1" v="347"/>
    </bk>
    <bk>
      <rc t="1" v="348"/>
    </bk>
    <bk>
      <rc t="1" v="349"/>
    </bk>
    <bk>
      <rc t="1" v="350"/>
    </bk>
    <bk>
      <rc t="1" v="351"/>
    </bk>
    <bk>
      <rc t="1" v="352"/>
    </bk>
    <bk>
      <rc t="1" v="353"/>
    </bk>
    <bk>
      <rc t="1" v="354"/>
    </bk>
    <bk>
      <rc t="1" v="355"/>
    </bk>
    <bk>
      <rc t="1" v="356"/>
    </bk>
    <bk>
      <rc t="1" v="357"/>
    </bk>
    <bk>
      <rc t="1" v="358"/>
    </bk>
    <bk>
      <rc t="1" v="359"/>
    </bk>
    <bk>
      <rc t="1" v="360"/>
    </bk>
    <bk>
      <rc t="1" v="361"/>
    </bk>
    <bk>
      <rc t="1" v="362"/>
    </bk>
    <bk>
      <rc t="1" v="363"/>
    </bk>
    <bk>
      <rc t="1" v="364"/>
    </bk>
    <bk>
      <rc t="1" v="365"/>
    </bk>
    <bk>
      <rc t="1" v="366"/>
    </bk>
    <bk>
      <rc t="1" v="367"/>
    </bk>
    <bk>
      <rc t="1" v="368"/>
    </bk>
    <bk>
      <rc t="1" v="369"/>
    </bk>
    <bk>
      <rc t="1" v="370"/>
    </bk>
    <bk>
      <rc t="1" v="371"/>
    </bk>
    <bk>
      <rc t="1" v="372"/>
    </bk>
    <bk>
      <rc t="1" v="373"/>
    </bk>
    <bk>
      <rc t="1" v="374"/>
    </bk>
    <bk>
      <rc t="1" v="375"/>
    </bk>
    <bk>
      <rc t="1" v="376"/>
    </bk>
    <bk>
      <rc t="1" v="377"/>
    </bk>
    <bk>
      <rc t="1" v="378"/>
    </bk>
    <bk>
      <rc t="1" v="379"/>
    </bk>
    <bk>
      <rc t="1" v="380"/>
    </bk>
    <bk>
      <rc t="1" v="381"/>
    </bk>
    <bk>
      <rc t="1" v="382"/>
    </bk>
    <bk>
      <rc t="1" v="383"/>
    </bk>
    <bk>
      <rc t="1" v="384"/>
    </bk>
    <bk>
      <rc t="1" v="385"/>
    </bk>
    <bk>
      <rc t="1" v="386"/>
    </bk>
    <bk>
      <rc t="1" v="387"/>
    </bk>
    <bk>
      <rc t="1" v="388"/>
    </bk>
    <bk>
      <rc t="1" v="389"/>
    </bk>
    <bk>
      <rc t="1" v="390"/>
    </bk>
    <bk>
      <rc t="1" v="391"/>
    </bk>
    <bk>
      <rc t="1" v="392"/>
    </bk>
    <bk>
      <rc t="1" v="393"/>
    </bk>
    <bk>
      <rc t="1" v="394"/>
    </bk>
    <bk>
      <rc t="1" v="395"/>
    </bk>
    <bk>
      <rc t="1" v="396"/>
    </bk>
    <bk>
      <rc t="1" v="397"/>
    </bk>
    <bk>
      <rc t="1" v="398"/>
    </bk>
    <bk>
      <rc t="1" v="399"/>
    </bk>
    <bk>
      <rc t="1" v="400"/>
    </bk>
    <bk>
      <rc t="1" v="401"/>
    </bk>
    <bk>
      <rc t="1" v="402"/>
    </bk>
    <bk>
      <rc t="1" v="403"/>
    </bk>
    <bk>
      <rc t="1" v="404"/>
    </bk>
    <bk>
      <rc t="1" v="405"/>
    </bk>
    <bk>
      <rc t="1" v="406"/>
    </bk>
    <bk>
      <rc t="1" v="407"/>
    </bk>
    <bk>
      <rc t="1" v="408"/>
    </bk>
    <bk>
      <rc t="1" v="409"/>
    </bk>
    <bk>
      <rc t="1" v="410"/>
    </bk>
    <bk>
      <rc t="1" v="411"/>
    </bk>
    <bk>
      <rc t="1" v="412"/>
    </bk>
    <bk>
      <rc t="1" v="413"/>
    </bk>
    <bk>
      <rc t="1" v="414"/>
    </bk>
    <bk>
      <rc t="1" v="415"/>
    </bk>
    <bk>
      <rc t="1" v="416"/>
    </bk>
    <bk>
      <rc t="1" v="417"/>
    </bk>
    <bk>
      <rc t="1" v="418"/>
    </bk>
    <bk>
      <rc t="1" v="419"/>
    </bk>
    <bk>
      <rc t="1" v="420"/>
    </bk>
    <bk>
      <rc t="1" v="421"/>
    </bk>
    <bk>
      <rc t="1" v="422"/>
    </bk>
    <bk>
      <rc t="1" v="423"/>
    </bk>
    <bk>
      <rc t="1" v="424"/>
    </bk>
    <bk>
      <rc t="1" v="425"/>
    </bk>
    <bk>
      <rc t="1" v="426"/>
    </bk>
    <bk>
      <rc t="1" v="427"/>
    </bk>
    <bk>
      <rc t="1" v="428"/>
    </bk>
    <bk>
      <rc t="1" v="429"/>
    </bk>
    <bk>
      <rc t="1" v="430"/>
    </bk>
    <bk>
      <rc t="1" v="431"/>
    </bk>
    <bk>
      <rc t="1" v="432"/>
    </bk>
    <bk>
      <rc t="1" v="433"/>
    </bk>
    <bk>
      <rc t="1" v="434"/>
    </bk>
    <bk>
      <rc t="1" v="435"/>
    </bk>
    <bk>
      <rc t="1" v="436"/>
    </bk>
    <bk>
      <rc t="1" v="437"/>
    </bk>
    <bk>
      <rc t="1" v="438"/>
    </bk>
    <bk>
      <rc t="1" v="439"/>
    </bk>
    <bk>
      <rc t="1" v="440"/>
    </bk>
    <bk>
      <rc t="1" v="441"/>
    </bk>
    <bk>
      <rc t="1" v="442"/>
    </bk>
    <bk>
      <rc t="1" v="443"/>
    </bk>
    <bk>
      <rc t="1" v="444"/>
    </bk>
    <bk>
      <rc t="1" v="445"/>
    </bk>
    <bk>
      <rc t="1" v="446"/>
    </bk>
    <bk>
      <rc t="1" v="447"/>
    </bk>
    <bk>
      <rc t="1" v="448"/>
    </bk>
    <bk>
      <rc t="1" v="449"/>
    </bk>
    <bk>
      <rc t="1" v="450"/>
    </bk>
    <bk>
      <rc t="1" v="451"/>
    </bk>
    <bk>
      <rc t="1" v="452"/>
    </bk>
    <bk>
      <rc t="1" v="453"/>
    </bk>
    <bk>
      <rc t="1" v="454"/>
    </bk>
    <bk>
      <rc t="1" v="455"/>
    </bk>
    <bk>
      <rc t="1" v="456"/>
    </bk>
    <bk>
      <rc t="1" v="457"/>
    </bk>
    <bk>
      <rc t="1" v="458"/>
    </bk>
    <bk>
      <rc t="1" v="459"/>
    </bk>
    <bk>
      <rc t="1" v="460"/>
    </bk>
    <bk>
      <rc t="1" v="461"/>
    </bk>
    <bk>
      <rc t="1" v="462"/>
    </bk>
    <bk>
      <rc t="1" v="463"/>
    </bk>
    <bk>
      <rc t="1" v="464"/>
    </bk>
    <bk>
      <rc t="1" v="465"/>
    </bk>
    <bk>
      <rc t="1" v="466"/>
    </bk>
    <bk>
      <rc t="1" v="467"/>
    </bk>
    <bk>
      <rc t="1" v="468"/>
    </bk>
    <bk>
      <rc t="1" v="469"/>
    </bk>
    <bk>
      <rc t="1" v="470"/>
    </bk>
    <bk>
      <rc t="1" v="471"/>
    </bk>
    <bk>
      <rc t="1" v="472"/>
    </bk>
    <bk>
      <rc t="1" v="473"/>
    </bk>
    <bk>
      <rc t="1" v="474"/>
    </bk>
    <bk>
      <rc t="1" v="475"/>
    </bk>
    <bk>
      <rc t="1" v="476"/>
    </bk>
    <bk>
      <rc t="1" v="477"/>
    </bk>
    <bk>
      <rc t="1" v="478"/>
    </bk>
    <bk>
      <rc t="1" v="479"/>
    </bk>
    <bk>
      <rc t="1" v="480"/>
    </bk>
    <bk>
      <rc t="1" v="481"/>
    </bk>
    <bk>
      <rc t="1" v="482"/>
    </bk>
    <bk>
      <rc t="1" v="483"/>
    </bk>
    <bk>
      <rc t="1" v="484"/>
    </bk>
    <bk>
      <rc t="1" v="485"/>
    </bk>
    <bk>
      <rc t="1" v="486"/>
    </bk>
    <bk>
      <rc t="1" v="487"/>
    </bk>
    <bk>
      <rc t="1" v="488"/>
    </bk>
    <bk>
      <rc t="1" v="489"/>
    </bk>
    <bk>
      <rc t="1" v="490"/>
    </bk>
    <bk>
      <rc t="1" v="491"/>
    </bk>
    <bk>
      <rc t="1" v="492"/>
    </bk>
    <bk>
      <rc t="1" v="493"/>
    </bk>
    <bk>
      <rc t="1" v="494"/>
    </bk>
    <bk>
      <rc t="1" v="495"/>
    </bk>
    <bk>
      <rc t="1" v="496"/>
    </bk>
    <bk>
      <rc t="1" v="497"/>
    </bk>
    <bk>
      <rc t="1" v="498"/>
    </bk>
    <bk>
      <rc t="1" v="499"/>
    </bk>
    <bk>
      <rc t="1" v="500"/>
    </bk>
    <bk>
      <rc t="1" v="501"/>
    </bk>
    <bk>
      <rc t="1" v="502"/>
    </bk>
    <bk>
      <rc t="1" v="503"/>
    </bk>
    <bk>
      <rc t="1" v="504"/>
    </bk>
    <bk>
      <rc t="1" v="505"/>
    </bk>
    <bk>
      <rc t="1" v="506"/>
    </bk>
    <bk>
      <rc t="1" v="507"/>
    </bk>
    <bk>
      <rc t="1" v="508"/>
    </bk>
    <bk>
      <rc t="1" v="509"/>
    </bk>
    <bk>
      <rc t="1" v="510"/>
    </bk>
    <bk>
      <rc t="1" v="511"/>
    </bk>
    <bk>
      <rc t="1" v="512"/>
    </bk>
    <bk>
      <rc t="1" v="513"/>
    </bk>
    <bk>
      <rc t="1" v="514"/>
    </bk>
    <bk>
      <rc t="1" v="515"/>
    </bk>
    <bk>
      <rc t="1" v="516"/>
    </bk>
    <bk>
      <rc t="1" v="517"/>
    </bk>
    <bk>
      <rc t="1" v="518"/>
    </bk>
    <bk>
      <rc t="1" v="519"/>
    </bk>
    <bk>
      <rc t="1" v="520"/>
    </bk>
    <bk>
      <rc t="1" v="521"/>
    </bk>
    <bk>
      <rc t="1" v="522"/>
    </bk>
    <bk>
      <rc t="1" v="523"/>
    </bk>
    <bk>
      <rc t="1" v="524"/>
    </bk>
    <bk>
      <rc t="1" v="525"/>
    </bk>
    <bk>
      <rc t="1" v="526"/>
    </bk>
    <bk>
      <rc t="1" v="527"/>
    </bk>
    <bk>
      <rc t="1" v="528"/>
    </bk>
    <bk>
      <rc t="1" v="529"/>
    </bk>
    <bk>
      <rc t="1" v="530"/>
    </bk>
    <bk>
      <rc t="1" v="531"/>
    </bk>
    <bk>
      <rc t="1" v="532"/>
    </bk>
    <bk>
      <rc t="1" v="533"/>
    </bk>
    <bk>
      <rc t="1" v="534"/>
    </bk>
    <bk>
      <rc t="1" v="535"/>
    </bk>
    <bk>
      <rc t="1" v="536"/>
    </bk>
    <bk>
      <rc t="1" v="537"/>
    </bk>
    <bk>
      <rc t="1" v="538"/>
    </bk>
    <bk>
      <rc t="1" v="539"/>
    </bk>
    <bk>
      <rc t="1" v="540"/>
    </bk>
    <bk>
      <rc t="1" v="541"/>
    </bk>
    <bk>
      <rc t="1" v="542"/>
    </bk>
    <bk>
      <rc t="1" v="543"/>
    </bk>
    <bk>
      <rc t="1" v="544"/>
    </bk>
    <bk>
      <rc t="1" v="545"/>
    </bk>
    <bk>
      <rc t="1" v="546"/>
    </bk>
    <bk>
      <rc t="1" v="547"/>
    </bk>
    <bk>
      <rc t="1" v="548"/>
    </bk>
    <bk>
      <rc t="1" v="549"/>
    </bk>
    <bk>
      <rc t="1" v="550"/>
    </bk>
    <bk>
      <rc t="1" v="551"/>
    </bk>
    <bk>
      <rc t="1" v="552"/>
    </bk>
    <bk>
      <rc t="1" v="553"/>
    </bk>
    <bk>
      <rc t="1" v="554"/>
    </bk>
    <bk>
      <rc t="1" v="555"/>
    </bk>
    <bk>
      <rc t="1" v="556"/>
    </bk>
    <bk>
      <rc t="1" v="557"/>
    </bk>
    <bk>
      <rc t="1" v="558"/>
    </bk>
    <bk>
      <rc t="1" v="559"/>
    </bk>
    <bk>
      <rc t="1" v="560"/>
    </bk>
    <bk>
      <rc t="1" v="561"/>
    </bk>
    <bk>
      <rc t="1" v="562"/>
    </bk>
    <bk>
      <rc t="1" v="563"/>
    </bk>
    <bk>
      <rc t="1" v="564"/>
    </bk>
    <bk>
      <rc t="1" v="565"/>
    </bk>
    <bk>
      <rc t="1" v="566"/>
    </bk>
    <bk>
      <rc t="1" v="567"/>
    </bk>
    <bk>
      <rc t="1" v="568"/>
    </bk>
    <bk>
      <rc t="1" v="569"/>
    </bk>
    <bk>
      <rc t="1" v="570"/>
    </bk>
    <bk>
      <rc t="1" v="571"/>
    </bk>
    <bk>
      <rc t="1" v="572"/>
    </bk>
    <bk>
      <rc t="1" v="573"/>
    </bk>
    <bk>
      <rc t="1" v="574"/>
    </bk>
    <bk>
      <rc t="1" v="575"/>
    </bk>
    <bk>
      <rc t="1" v="576"/>
    </bk>
    <bk>
      <rc t="1" v="577"/>
    </bk>
    <bk>
      <rc t="1" v="578"/>
    </bk>
    <bk>
      <rc t="1" v="579"/>
    </bk>
    <bk>
      <rc t="1" v="580"/>
    </bk>
    <bk>
      <rc t="1" v="581"/>
    </bk>
    <bk>
      <rc t="1" v="582"/>
    </bk>
    <bk>
      <rc t="1" v="583"/>
    </bk>
    <bk>
      <rc t="1" v="584"/>
    </bk>
    <bk>
      <rc t="1" v="585"/>
    </bk>
    <bk>
      <rc t="1" v="586"/>
    </bk>
    <bk>
      <rc t="1" v="587"/>
    </bk>
    <bk>
      <rc t="1" v="588"/>
    </bk>
    <bk>
      <rc t="1" v="589"/>
    </bk>
    <bk>
      <rc t="1" v="590"/>
    </bk>
    <bk>
      <rc t="1" v="591"/>
    </bk>
    <bk>
      <rc t="1" v="592"/>
    </bk>
    <bk>
      <rc t="1" v="593"/>
    </bk>
    <bk>
      <rc t="1" v="594"/>
    </bk>
    <bk>
      <rc t="1" v="595"/>
    </bk>
    <bk>
      <rc t="1" v="596"/>
    </bk>
    <bk>
      <rc t="1" v="597"/>
    </bk>
    <bk>
      <rc t="1" v="598"/>
    </bk>
    <bk>
      <rc t="1" v="599"/>
    </bk>
    <bk>
      <rc t="1" v="600"/>
    </bk>
    <bk>
      <rc t="1" v="601"/>
    </bk>
    <bk>
      <rc t="1" v="602"/>
    </bk>
    <bk>
      <rc t="1" v="603"/>
    </bk>
    <bk>
      <rc t="1" v="604"/>
    </bk>
    <bk>
      <rc t="1" v="605"/>
    </bk>
    <bk>
      <rc t="1" v="606"/>
    </bk>
    <bk>
      <rc t="1" v="607"/>
    </bk>
    <bk>
      <rc t="1" v="608"/>
    </bk>
    <bk>
      <rc t="1" v="609"/>
    </bk>
    <bk>
      <rc t="1" v="610"/>
    </bk>
    <bk>
      <rc t="1" v="611"/>
    </bk>
    <bk>
      <rc t="1" v="612"/>
    </bk>
    <bk>
      <rc t="1" v="613"/>
    </bk>
    <bk>
      <rc t="1" v="614"/>
    </bk>
    <bk>
      <rc t="1" v="615"/>
    </bk>
    <bk>
      <rc t="1" v="616"/>
    </bk>
    <bk>
      <rc t="1" v="617"/>
    </bk>
    <bk>
      <rc t="1" v="618"/>
    </bk>
    <bk>
      <rc t="1" v="619"/>
    </bk>
    <bk>
      <rc t="1" v="620"/>
    </bk>
    <bk>
      <rc t="1" v="621"/>
    </bk>
    <bk>
      <rc t="1" v="622"/>
    </bk>
    <bk>
      <rc t="1" v="623"/>
    </bk>
    <bk>
      <rc t="1" v="624"/>
    </bk>
    <bk>
      <rc t="1" v="625"/>
    </bk>
    <bk>
      <rc t="1" v="626"/>
    </bk>
    <bk>
      <rc t="1" v="627"/>
    </bk>
    <bk>
      <rc t="1" v="628"/>
    </bk>
    <bk>
      <rc t="1" v="629"/>
    </bk>
    <bk>
      <rc t="1" v="630"/>
    </bk>
    <bk>
      <rc t="1" v="631"/>
    </bk>
    <bk>
      <rc t="1" v="632"/>
    </bk>
    <bk>
      <rc t="1" v="633"/>
    </bk>
    <bk>
      <rc t="1" v="634"/>
    </bk>
    <bk>
      <rc t="1" v="635"/>
    </bk>
    <bk>
      <rc t="1" v="636"/>
    </bk>
    <bk>
      <rc t="1" v="637"/>
    </bk>
    <bk>
      <rc t="1" v="638"/>
    </bk>
    <bk>
      <rc t="1" v="639"/>
    </bk>
    <bk>
      <rc t="1" v="640"/>
    </bk>
    <bk>
      <rc t="1" v="641"/>
    </bk>
    <bk>
      <rc t="1" v="642"/>
    </bk>
    <bk>
      <rc t="1" v="643"/>
    </bk>
    <bk>
      <rc t="1" v="644"/>
    </bk>
    <bk>
      <rc t="1" v="645"/>
    </bk>
    <bk>
      <rc t="1" v="646"/>
    </bk>
    <bk>
      <rc t="1" v="647"/>
    </bk>
    <bk>
      <rc t="1" v="648"/>
    </bk>
    <bk>
      <rc t="1" v="649"/>
    </bk>
    <bk>
      <rc t="1" v="650"/>
    </bk>
    <bk>
      <rc t="1" v="651"/>
    </bk>
    <bk>
      <rc t="1" v="652"/>
    </bk>
    <bk>
      <rc t="1" v="653"/>
    </bk>
    <bk>
      <rc t="1" v="654"/>
    </bk>
    <bk>
      <rc t="1" v="655"/>
    </bk>
    <bk>
      <rc t="1" v="656"/>
    </bk>
    <bk>
      <rc t="1" v="657"/>
    </bk>
    <bk>
      <rc t="1" v="658"/>
    </bk>
    <bk>
      <rc t="1" v="659"/>
    </bk>
    <bk>
      <rc t="1" v="660"/>
    </bk>
    <bk>
      <rc t="1" v="661"/>
    </bk>
    <bk>
      <rc t="1" v="662"/>
    </bk>
    <bk>
      <rc t="1" v="663"/>
    </bk>
    <bk>
      <rc t="1" v="664"/>
    </bk>
    <bk>
      <rc t="1" v="665"/>
    </bk>
    <bk>
      <rc t="1" v="666"/>
    </bk>
    <bk>
      <rc t="1" v="667"/>
    </bk>
    <bk>
      <rc t="1" v="668"/>
    </bk>
    <bk>
      <rc t="1" v="669"/>
    </bk>
    <bk>
      <rc t="1" v="670"/>
    </bk>
    <bk>
      <rc t="1" v="671"/>
    </bk>
    <bk>
      <rc t="1" v="672"/>
    </bk>
    <bk>
      <rc t="1" v="673"/>
    </bk>
    <bk>
      <rc t="1" v="674"/>
    </bk>
    <bk>
      <rc t="1" v="675"/>
    </bk>
    <bk>
      <rc t="1" v="676"/>
    </bk>
    <bk>
      <rc t="1" v="677"/>
    </bk>
    <bk>
      <rc t="1" v="678"/>
    </bk>
    <bk>
      <rc t="1" v="679"/>
    </bk>
    <bk>
      <rc t="1" v="680"/>
    </bk>
    <bk>
      <rc t="1" v="681"/>
    </bk>
    <bk>
      <rc t="1" v="682"/>
    </bk>
    <bk>
      <rc t="1" v="683"/>
    </bk>
    <bk>
      <rc t="1" v="684"/>
    </bk>
    <bk>
      <rc t="1" v="685"/>
    </bk>
    <bk>
      <rc t="1" v="686"/>
    </bk>
    <bk>
      <rc t="1" v="687"/>
    </bk>
    <bk>
      <rc t="1" v="688"/>
    </bk>
    <bk>
      <rc t="1" v="689"/>
    </bk>
    <bk>
      <rc t="1" v="690"/>
    </bk>
    <bk>
      <rc t="1" v="691"/>
    </bk>
    <bk>
      <rc t="1" v="692"/>
    </bk>
    <bk>
      <rc t="1" v="693"/>
    </bk>
    <bk>
      <rc t="1" v="694"/>
    </bk>
    <bk>
      <rc t="1" v="695"/>
    </bk>
    <bk>
      <rc t="1" v="696"/>
    </bk>
    <bk>
      <rc t="1" v="697"/>
    </bk>
    <bk>
      <rc t="1" v="698"/>
    </bk>
    <bk>
      <rc t="1" v="699"/>
    </bk>
    <bk>
      <rc t="1" v="700"/>
    </bk>
    <bk>
      <rc t="1" v="701"/>
    </bk>
    <bk>
      <rc t="1" v="702"/>
    </bk>
    <bk>
      <rc t="1" v="703"/>
    </bk>
    <bk>
      <rc t="1" v="704"/>
    </bk>
    <bk>
      <rc t="1" v="705"/>
    </bk>
    <bk>
      <rc t="1" v="706"/>
    </bk>
    <bk>
      <rc t="1" v="707"/>
    </bk>
    <bk>
      <rc t="1" v="708"/>
    </bk>
    <bk>
      <rc t="1" v="709"/>
    </bk>
    <bk>
      <rc t="1" v="710"/>
    </bk>
    <bk>
      <rc t="1" v="711"/>
    </bk>
    <bk>
      <rc t="1" v="712"/>
    </bk>
    <bk>
      <rc t="1" v="713"/>
    </bk>
    <bk>
      <rc t="1" v="714"/>
    </bk>
    <bk>
      <rc t="1" v="715"/>
    </bk>
    <bk>
      <rc t="1" v="716"/>
    </bk>
    <bk>
      <rc t="1" v="717"/>
    </bk>
    <bk>
      <rc t="1" v="718"/>
    </bk>
    <bk>
      <rc t="1" v="719"/>
    </bk>
    <bk>
      <rc t="1" v="720"/>
    </bk>
    <bk>
      <rc t="1" v="721"/>
    </bk>
    <bk>
      <rc t="1" v="722"/>
    </bk>
    <bk>
      <rc t="1" v="723"/>
    </bk>
    <bk>
      <rc t="1" v="724"/>
    </bk>
    <bk>
      <rc t="1" v="725"/>
    </bk>
    <bk>
      <rc t="1" v="726"/>
    </bk>
    <bk>
      <rc t="1" v="727"/>
    </bk>
    <bk>
      <rc t="1" v="728"/>
    </bk>
    <bk>
      <rc t="1" v="729"/>
    </bk>
    <bk>
      <rc t="1" v="730"/>
    </bk>
    <bk>
      <rc t="1" v="731"/>
    </bk>
    <bk>
      <rc t="1" v="732"/>
    </bk>
    <bk>
      <rc t="1" v="733"/>
    </bk>
    <bk>
      <rc t="1" v="734"/>
    </bk>
    <bk>
      <rc t="1" v="735"/>
    </bk>
    <bk>
      <rc t="1" v="736"/>
    </bk>
    <bk>
      <rc t="1" v="737"/>
    </bk>
    <bk>
      <rc t="1" v="738"/>
    </bk>
    <bk>
      <rc t="1" v="739"/>
    </bk>
    <bk>
      <rc t="1" v="740"/>
    </bk>
    <bk>
      <rc t="1" v="741"/>
    </bk>
    <bk>
      <rc t="1" v="742"/>
    </bk>
    <bk>
      <rc t="1" v="743"/>
    </bk>
    <bk>
      <rc t="1" v="744"/>
    </bk>
    <bk>
      <rc t="1" v="745"/>
    </bk>
    <bk>
      <rc t="1" v="746"/>
    </bk>
    <bk>
      <rc t="1" v="747"/>
    </bk>
    <bk>
      <rc t="1" v="748"/>
    </bk>
    <bk>
      <rc t="1" v="749"/>
    </bk>
    <bk>
      <rc t="1" v="750"/>
    </bk>
    <bk>
      <rc t="1" v="751"/>
    </bk>
    <bk>
      <rc t="1" v="752"/>
    </bk>
    <bk>
      <rc t="1" v="753"/>
    </bk>
    <bk>
      <rc t="1" v="754"/>
    </bk>
    <bk>
      <rc t="1" v="755"/>
    </bk>
    <bk>
      <rc t="1" v="756"/>
    </bk>
    <bk>
      <rc t="1" v="757"/>
    </bk>
    <bk>
      <rc t="1" v="758"/>
    </bk>
    <bk>
      <rc t="1" v="759"/>
    </bk>
    <bk>
      <rc t="1" v="760"/>
    </bk>
    <bk>
      <rc t="1" v="761"/>
    </bk>
    <bk>
      <rc t="1" v="762"/>
    </bk>
    <bk>
      <rc t="1" v="763"/>
    </bk>
    <bk>
      <rc t="1" v="764"/>
    </bk>
    <bk>
      <rc t="1" v="765"/>
    </bk>
    <bk>
      <rc t="1" v="766"/>
    </bk>
    <bk>
      <rc t="1" v="767"/>
    </bk>
    <bk>
      <rc t="1" v="768"/>
    </bk>
    <bk>
      <rc t="1" v="769"/>
    </bk>
    <bk>
      <rc t="1" v="770"/>
    </bk>
    <bk>
      <rc t="1" v="771"/>
    </bk>
    <bk>
      <rc t="1" v="772"/>
    </bk>
    <bk>
      <rc t="1" v="773"/>
    </bk>
    <bk>
      <rc t="1" v="774"/>
    </bk>
    <bk>
      <rc t="1" v="775"/>
    </bk>
    <bk>
      <rc t="1" v="776"/>
    </bk>
    <bk>
      <rc t="1" v="777"/>
    </bk>
    <bk>
      <rc t="1" v="778"/>
    </bk>
    <bk>
      <rc t="1" v="779"/>
    </bk>
    <bk>
      <rc t="1" v="780"/>
    </bk>
    <bk>
      <rc t="1" v="781"/>
    </bk>
    <bk>
      <rc t="1" v="782"/>
    </bk>
    <bk>
      <rc t="1" v="783"/>
    </bk>
    <bk>
      <rc t="1" v="784"/>
    </bk>
    <bk>
      <rc t="1" v="785"/>
    </bk>
    <bk>
      <rc t="1" v="786"/>
    </bk>
    <bk>
      <rc t="1" v="787"/>
    </bk>
    <bk>
      <rc t="1" v="788"/>
    </bk>
    <bk>
      <rc t="1" v="789"/>
    </bk>
    <bk>
      <rc t="1" v="790"/>
    </bk>
    <bk>
      <rc t="1" v="791"/>
    </bk>
    <bk>
      <rc t="1" v="792"/>
    </bk>
    <bk>
      <rc t="1" v="793"/>
    </bk>
    <bk>
      <rc t="1" v="794"/>
    </bk>
    <bk>
      <rc t="1" v="795"/>
    </bk>
    <bk>
      <rc t="1" v="796"/>
    </bk>
    <bk>
      <rc t="1" v="797"/>
    </bk>
    <bk>
      <rc t="1" v="798"/>
    </bk>
    <bk>
      <rc t="1" v="799"/>
    </bk>
    <bk>
      <rc t="1" v="800"/>
    </bk>
    <bk>
      <rc t="1" v="801"/>
    </bk>
    <bk>
      <rc t="1" v="802"/>
    </bk>
    <bk>
      <rc t="1" v="803"/>
    </bk>
    <bk>
      <rc t="1" v="804"/>
    </bk>
    <bk>
      <rc t="1" v="805"/>
    </bk>
    <bk>
      <rc t="1" v="806"/>
    </bk>
    <bk>
      <rc t="1" v="807"/>
    </bk>
    <bk>
      <rc t="1" v="808"/>
    </bk>
    <bk>
      <rc t="1" v="809"/>
    </bk>
    <bk>
      <rc t="1" v="810"/>
    </bk>
    <bk>
      <rc t="1" v="811"/>
    </bk>
    <bk>
      <rc t="1" v="812"/>
    </bk>
    <bk>
      <rc t="1" v="813"/>
    </bk>
    <bk>
      <rc t="1" v="814"/>
    </bk>
    <bk>
      <rc t="1" v="815"/>
    </bk>
    <bk>
      <rc t="1" v="816"/>
    </bk>
    <bk>
      <rc t="1" v="817"/>
    </bk>
    <bk>
      <rc t="1" v="818"/>
    </bk>
    <bk>
      <rc t="1" v="819"/>
    </bk>
    <bk>
      <rc t="1" v="820"/>
    </bk>
    <bk>
      <rc t="1" v="821"/>
    </bk>
    <bk>
      <rc t="1" v="822"/>
    </bk>
    <bk>
      <rc t="1" v="823"/>
    </bk>
    <bk>
      <rc t="1" v="824"/>
    </bk>
    <bk>
      <rc t="1" v="825"/>
    </bk>
    <bk>
      <rc t="1" v="826"/>
    </bk>
    <bk>
      <rc t="1" v="827"/>
    </bk>
    <bk>
      <rc t="1" v="828"/>
    </bk>
    <bk>
      <rc t="1" v="829"/>
    </bk>
    <bk>
      <rc t="1" v="830"/>
    </bk>
    <bk>
      <rc t="1" v="831"/>
    </bk>
    <bk>
      <rc t="1" v="832"/>
    </bk>
    <bk>
      <rc t="1" v="833"/>
    </bk>
    <bk>
      <rc t="1" v="834"/>
    </bk>
    <bk>
      <rc t="1" v="835"/>
    </bk>
    <bk>
      <rc t="1" v="836"/>
    </bk>
    <bk>
      <rc t="1" v="837"/>
    </bk>
    <bk>
      <rc t="1" v="838"/>
    </bk>
    <bk>
      <rc t="1" v="839"/>
    </bk>
    <bk>
      <rc t="1" v="840"/>
    </bk>
    <bk>
      <rc t="1" v="841"/>
    </bk>
    <bk>
      <rc t="1" v="842"/>
    </bk>
    <bk>
      <rc t="1" v="843"/>
    </bk>
    <bk>
      <rc t="1" v="844"/>
    </bk>
    <bk>
      <rc t="1" v="845"/>
    </bk>
    <bk>
      <rc t="1" v="846"/>
    </bk>
    <bk>
      <rc t="1" v="847"/>
    </bk>
    <bk>
      <rc t="1" v="848"/>
    </bk>
    <bk>
      <rc t="1" v="849"/>
    </bk>
    <bk>
      <rc t="1" v="850"/>
    </bk>
    <bk>
      <rc t="1" v="851"/>
    </bk>
    <bk>
      <rc t="1" v="852"/>
    </bk>
    <bk>
      <rc t="1" v="853"/>
    </bk>
    <bk>
      <rc t="1" v="854"/>
    </bk>
    <bk>
      <rc t="1" v="855"/>
    </bk>
    <bk>
      <rc t="1" v="856"/>
    </bk>
    <bk>
      <rc t="1" v="857"/>
    </bk>
    <bk>
      <rc t="1" v="858"/>
    </bk>
    <bk>
      <rc t="1" v="859"/>
    </bk>
    <bk>
      <rc t="1" v="860"/>
    </bk>
    <bk>
      <rc t="1" v="861"/>
    </bk>
    <bk>
      <rc t="1" v="862"/>
    </bk>
    <bk>
      <rc t="1" v="863"/>
    </bk>
    <bk>
      <rc t="1" v="864"/>
    </bk>
    <bk>
      <rc t="1" v="865"/>
    </bk>
    <bk>
      <rc t="1" v="866"/>
    </bk>
    <bk>
      <rc t="1" v="867"/>
    </bk>
    <bk>
      <rc t="1" v="868"/>
    </bk>
    <bk>
      <rc t="1" v="869"/>
    </bk>
    <bk>
      <rc t="1" v="870"/>
    </bk>
    <bk>
      <rc t="1" v="871"/>
    </bk>
    <bk>
      <rc t="1" v="872"/>
    </bk>
    <bk>
      <rc t="1" v="873"/>
    </bk>
    <bk>
      <rc t="1" v="874"/>
    </bk>
    <bk>
      <rc t="1" v="875"/>
    </bk>
    <bk>
      <rc t="1" v="876"/>
    </bk>
    <bk>
      <rc t="1" v="877"/>
    </bk>
    <bk>
      <rc t="1" v="878"/>
    </bk>
    <bk>
      <rc t="1" v="879"/>
    </bk>
    <bk>
      <rc t="1" v="880"/>
    </bk>
    <bk>
      <rc t="1" v="881"/>
    </bk>
    <bk>
      <rc t="1" v="882"/>
    </bk>
    <bk>
      <rc t="1" v="883"/>
    </bk>
    <bk>
      <rc t="1" v="884"/>
    </bk>
    <bk>
      <rc t="1" v="885"/>
    </bk>
    <bk>
      <rc t="1" v="886"/>
    </bk>
    <bk>
      <rc t="1" v="887"/>
    </bk>
    <bk>
      <rc t="1" v="888"/>
    </bk>
    <bk>
      <rc t="1" v="889"/>
    </bk>
    <bk>
      <rc t="1" v="890"/>
    </bk>
    <bk>
      <rc t="1" v="891"/>
    </bk>
    <bk>
      <rc t="1" v="892"/>
    </bk>
    <bk>
      <rc t="1" v="893"/>
    </bk>
    <bk>
      <rc t="1" v="894"/>
    </bk>
    <bk>
      <rc t="1" v="895"/>
    </bk>
    <bk>
      <rc t="1" v="896"/>
    </bk>
    <bk>
      <rc t="1" v="897"/>
    </bk>
    <bk>
      <rc t="1" v="898"/>
    </bk>
    <bk>
      <rc t="1" v="899"/>
    </bk>
    <bk>
      <rc t="1" v="900"/>
    </bk>
    <bk>
      <rc t="1" v="901"/>
    </bk>
    <bk>
      <rc t="1" v="902"/>
    </bk>
    <bk>
      <rc t="1" v="903"/>
    </bk>
    <bk>
      <rc t="1" v="904"/>
    </bk>
    <bk>
      <rc t="1" v="905"/>
    </bk>
    <bk>
      <rc t="1" v="906"/>
    </bk>
    <bk>
      <rc t="1" v="907"/>
    </bk>
    <bk>
      <rc t="1" v="908"/>
    </bk>
    <bk>
      <rc t="1" v="909"/>
    </bk>
    <bk>
      <rc t="1" v="910"/>
    </bk>
    <bk>
      <rc t="1" v="911"/>
    </bk>
    <bk>
      <rc t="1" v="912"/>
    </bk>
    <bk>
      <rc t="1" v="913"/>
    </bk>
    <bk>
      <rc t="1" v="914"/>
    </bk>
    <bk>
      <rc t="1" v="915"/>
    </bk>
    <bk>
      <rc t="1" v="916"/>
    </bk>
    <bk>
      <rc t="1" v="917"/>
    </bk>
    <bk>
      <rc t="1" v="918"/>
    </bk>
    <bk>
      <rc t="1" v="919"/>
    </bk>
    <bk>
      <rc t="1" v="920"/>
    </bk>
    <bk>
      <rc t="1" v="921"/>
    </bk>
    <bk>
      <rc t="1" v="922"/>
    </bk>
    <bk>
      <rc t="1" v="923"/>
    </bk>
    <bk>
      <rc t="1" v="924"/>
    </bk>
    <bk>
      <rc t="1" v="925"/>
    </bk>
    <bk>
      <rc t="1" v="926"/>
    </bk>
    <bk>
      <rc t="1" v="927"/>
    </bk>
    <bk>
      <rc t="1" v="928"/>
    </bk>
    <bk>
      <rc t="1" v="929"/>
    </bk>
    <bk>
      <rc t="1" v="930"/>
    </bk>
    <bk>
      <rc t="1" v="931"/>
    </bk>
    <bk>
      <rc t="1" v="932"/>
    </bk>
    <bk>
      <rc t="1" v="933"/>
    </bk>
    <bk>
      <rc t="1" v="934"/>
    </bk>
    <bk>
      <rc t="1" v="935"/>
    </bk>
    <bk>
      <rc t="1" v="936"/>
    </bk>
    <bk>
      <rc t="1" v="937"/>
    </bk>
    <bk>
      <rc t="1" v="938"/>
    </bk>
    <bk>
      <rc t="1" v="939"/>
    </bk>
    <bk>
      <rc t="1" v="940"/>
    </bk>
    <bk>
      <rc t="1" v="941"/>
    </bk>
    <bk>
      <rc t="1" v="942"/>
    </bk>
    <bk>
      <rc t="1" v="943"/>
    </bk>
    <bk>
      <rc t="1" v="944"/>
    </bk>
    <bk>
      <rc t="1" v="945"/>
    </bk>
    <bk>
      <rc t="1" v="946"/>
    </bk>
    <bk>
      <rc t="1" v="947"/>
    </bk>
    <bk>
      <rc t="1" v="948"/>
    </bk>
    <bk>
      <rc t="1" v="949"/>
    </bk>
    <bk>
      <rc t="1" v="950"/>
    </bk>
    <bk>
      <rc t="1" v="951"/>
    </bk>
    <bk>
      <rc t="1" v="952"/>
    </bk>
    <bk>
      <rc t="1" v="953"/>
    </bk>
    <bk>
      <rc t="1" v="954"/>
    </bk>
    <bk>
      <rc t="1" v="955"/>
    </bk>
    <bk>
      <rc t="1" v="956"/>
    </bk>
    <bk>
      <rc t="1" v="957"/>
    </bk>
    <bk>
      <rc t="1" v="958"/>
    </bk>
    <bk>
      <rc t="1" v="959"/>
    </bk>
    <bk>
      <rc t="1" v="960"/>
    </bk>
    <bk>
      <rc t="1" v="961"/>
    </bk>
    <bk>
      <rc t="1" v="962"/>
    </bk>
    <bk>
      <rc t="1" v="963"/>
    </bk>
    <bk>
      <rc t="1" v="964"/>
    </bk>
    <bk>
      <rc t="1" v="965"/>
    </bk>
    <bk>
      <rc t="1" v="966"/>
    </bk>
    <bk>
      <rc t="1" v="967"/>
    </bk>
    <bk>
      <rc t="1" v="968"/>
    </bk>
    <bk>
      <rc t="1" v="969"/>
    </bk>
    <bk>
      <rc t="1" v="970"/>
    </bk>
    <bk>
      <rc t="1" v="971"/>
    </bk>
    <bk>
      <rc t="1" v="972"/>
    </bk>
    <bk>
      <rc t="1" v="973"/>
    </bk>
    <bk>
      <rc t="1" v="974"/>
    </bk>
    <bk>
      <rc t="1" v="975"/>
    </bk>
    <bk>
      <rc t="1" v="976"/>
    </bk>
    <bk>
      <rc t="1" v="977"/>
    </bk>
    <bk>
      <rc t="1" v="978"/>
    </bk>
    <bk>
      <rc t="1" v="979"/>
    </bk>
    <bk>
      <rc t="1" v="980"/>
    </bk>
    <bk>
      <rc t="1" v="981"/>
    </bk>
    <bk>
      <rc t="1" v="982"/>
    </bk>
    <bk>
      <rc t="1" v="983"/>
    </bk>
    <bk>
      <rc t="1" v="984"/>
    </bk>
    <bk>
      <rc t="1" v="985"/>
    </bk>
    <bk>
      <rc t="1" v="986"/>
    </bk>
    <bk>
      <rc t="1" v="987"/>
    </bk>
    <bk>
      <rc t="1" v="988"/>
    </bk>
    <bk>
      <rc t="1" v="989"/>
    </bk>
    <bk>
      <rc t="1" v="990"/>
    </bk>
    <bk>
      <rc t="1" v="991"/>
    </bk>
    <bk>
      <rc t="1" v="992"/>
    </bk>
    <bk>
      <rc t="1" v="993"/>
    </bk>
    <bk>
      <rc t="1" v="994"/>
    </bk>
    <bk>
      <rc t="1" v="995"/>
    </bk>
    <bk>
      <rc t="1" v="996"/>
    </bk>
    <bk>
      <rc t="1" v="997"/>
    </bk>
    <bk>
      <rc t="1" v="998"/>
    </bk>
    <bk>
      <rc t="1" v="999"/>
    </bk>
    <bk>
      <rc t="1" v="1000"/>
    </bk>
    <bk>
      <rc t="1" v="1001"/>
    </bk>
    <bk>
      <rc t="1" v="1002"/>
    </bk>
    <bk>
      <rc t="1" v="1003"/>
    </bk>
    <bk>
      <rc t="1" v="1004"/>
    </bk>
    <bk>
      <rc t="1" v="1005"/>
    </bk>
    <bk>
      <rc t="1" v="1006"/>
    </bk>
    <bk>
      <rc t="1" v="1007"/>
    </bk>
    <bk>
      <rc t="1" v="1008"/>
    </bk>
    <bk>
      <rc t="1" v="1009"/>
    </bk>
    <bk>
      <rc t="1" v="1010"/>
    </bk>
    <bk>
      <rc t="1" v="1011"/>
    </bk>
    <bk>
      <rc t="1" v="1012"/>
    </bk>
    <bk>
      <rc t="1" v="1013"/>
    </bk>
    <bk>
      <rc t="1" v="1014"/>
    </bk>
    <bk>
      <rc t="1" v="1015"/>
    </bk>
    <bk>
      <rc t="1" v="1016"/>
    </bk>
    <bk>
      <rc t="1" v="1017"/>
    </bk>
    <bk>
      <rc t="1" v="1018"/>
    </bk>
    <bk>
      <rc t="1" v="1019"/>
    </bk>
    <bk>
      <rc t="1" v="1020"/>
    </bk>
    <bk>
      <rc t="1" v="1021"/>
    </bk>
    <bk>
      <rc t="1" v="1022"/>
    </bk>
    <bk>
      <rc t="1" v="1023"/>
    </bk>
    <bk>
      <rc t="1" v="1024"/>
    </bk>
    <bk>
      <rc t="1" v="1025"/>
    </bk>
    <bk>
      <rc t="1" v="1026"/>
    </bk>
    <bk>
      <rc t="1" v="1027"/>
    </bk>
    <bk>
      <rc t="1" v="1028"/>
    </bk>
    <bk>
      <rc t="1" v="1029"/>
    </bk>
    <bk>
      <rc t="1" v="1030"/>
    </bk>
    <bk>
      <rc t="1" v="1031"/>
    </bk>
    <bk>
      <rc t="1" v="1032"/>
    </bk>
    <bk>
      <rc t="1" v="1033"/>
    </bk>
    <bk>
      <rc t="1" v="1034"/>
    </bk>
    <bk>
      <rc t="1" v="1035"/>
    </bk>
    <bk>
      <rc t="1" v="1036"/>
    </bk>
    <bk>
      <rc t="1" v="1037"/>
    </bk>
    <bk>
      <rc t="1" v="1038"/>
    </bk>
    <bk>
      <rc t="1" v="1039"/>
    </bk>
    <bk>
      <rc t="1" v="1040"/>
    </bk>
    <bk>
      <rc t="1" v="1041"/>
    </bk>
    <bk>
      <rc t="1" v="1042"/>
    </bk>
    <bk>
      <rc t="1" v="1043"/>
    </bk>
    <bk>
      <rc t="1" v="1044"/>
    </bk>
    <bk>
      <rc t="1" v="1045"/>
    </bk>
    <bk>
      <rc t="1" v="1046"/>
    </bk>
    <bk>
      <rc t="1" v="1047"/>
    </bk>
    <bk>
      <rc t="1" v="1048"/>
    </bk>
    <bk>
      <rc t="1" v="1049"/>
    </bk>
    <bk>
      <rc t="1" v="1050"/>
    </bk>
    <bk>
      <rc t="1" v="1051"/>
    </bk>
    <bk>
      <rc t="1" v="1052"/>
    </bk>
    <bk>
      <rc t="1" v="1053"/>
    </bk>
    <bk>
      <rc t="1" v="1054"/>
    </bk>
    <bk>
      <rc t="1" v="1055"/>
    </bk>
    <bk>
      <rc t="1" v="1056"/>
    </bk>
    <bk>
      <rc t="1" v="1057"/>
    </bk>
    <bk>
      <rc t="1" v="1058"/>
    </bk>
    <bk>
      <rc t="1" v="1059"/>
    </bk>
    <bk>
      <rc t="1" v="1060"/>
    </bk>
    <bk>
      <rc t="1" v="1061"/>
    </bk>
    <bk>
      <rc t="1" v="1062"/>
    </bk>
    <bk>
      <rc t="1" v="1063"/>
    </bk>
    <bk>
      <rc t="1" v="1064"/>
    </bk>
    <bk>
      <rc t="1" v="1065"/>
    </bk>
    <bk>
      <rc t="1" v="1066"/>
    </bk>
    <bk>
      <rc t="1" v="1067"/>
    </bk>
    <bk>
      <rc t="1" v="1068"/>
    </bk>
    <bk>
      <rc t="1" v="1069"/>
    </bk>
    <bk>
      <rc t="1" v="1070"/>
    </bk>
    <bk>
      <rc t="1" v="1071"/>
    </bk>
    <bk>
      <rc t="1" v="1072"/>
    </bk>
    <bk>
      <rc t="1" v="1073"/>
    </bk>
    <bk>
      <rc t="1" v="1074"/>
    </bk>
    <bk>
      <rc t="1" v="1075"/>
    </bk>
    <bk>
      <rc t="1" v="1076"/>
    </bk>
    <bk>
      <rc t="1" v="1077"/>
    </bk>
    <bk>
      <rc t="1" v="1078"/>
    </bk>
    <bk>
      <rc t="1" v="1079"/>
    </bk>
    <bk>
      <rc t="1" v="1080"/>
    </bk>
    <bk>
      <rc t="1" v="1081"/>
    </bk>
    <bk>
      <rc t="1" v="1082"/>
    </bk>
    <bk>
      <rc t="1" v="1083"/>
    </bk>
    <bk>
      <rc t="1" v="1084"/>
    </bk>
    <bk>
      <rc t="1" v="1085"/>
    </bk>
    <bk>
      <rc t="1" v="1086"/>
    </bk>
    <bk>
      <rc t="1" v="1087"/>
    </bk>
    <bk>
      <rc t="1" v="1088"/>
    </bk>
    <bk>
      <rc t="1" v="1089"/>
    </bk>
    <bk>
      <rc t="1" v="1090"/>
    </bk>
    <bk>
      <rc t="1" v="1091"/>
    </bk>
    <bk>
      <rc t="1" v="1092"/>
    </bk>
    <bk>
      <rc t="1" v="1093"/>
    </bk>
    <bk>
      <rc t="1" v="1094"/>
    </bk>
    <bk>
      <rc t="1" v="1095"/>
    </bk>
    <bk>
      <rc t="1" v="1096"/>
    </bk>
    <bk>
      <rc t="1" v="1097"/>
    </bk>
    <bk>
      <rc t="1" v="1098"/>
    </bk>
    <bk>
      <rc t="1" v="1099"/>
    </bk>
    <bk>
      <rc t="1" v="1100"/>
    </bk>
    <bk>
      <rc t="1" v="1101"/>
    </bk>
    <bk>
      <rc t="1" v="1102"/>
    </bk>
    <bk>
      <rc t="1" v="1103"/>
    </bk>
    <bk>
      <rc t="1" v="1104"/>
    </bk>
    <bk>
      <rc t="1" v="1105"/>
    </bk>
    <bk>
      <rc t="1" v="1106"/>
    </bk>
    <bk>
      <rc t="1" v="1107"/>
    </bk>
    <bk>
      <rc t="1" v="1108"/>
    </bk>
    <bk>
      <rc t="1" v="1109"/>
    </bk>
    <bk>
      <rc t="1" v="1110"/>
    </bk>
    <bk>
      <rc t="1" v="1111"/>
    </bk>
    <bk>
      <rc t="1" v="1112"/>
    </bk>
    <bk>
      <rc t="1" v="1113"/>
    </bk>
    <bk>
      <rc t="1" v="1114"/>
    </bk>
    <bk>
      <rc t="1" v="1115"/>
    </bk>
    <bk>
      <rc t="1" v="1116"/>
    </bk>
    <bk>
      <rc t="1" v="1117"/>
    </bk>
    <bk>
      <rc t="1" v="1118"/>
    </bk>
    <bk>
      <rc t="1" v="1119"/>
    </bk>
    <bk>
      <rc t="1" v="1120"/>
    </bk>
    <bk>
      <rc t="1" v="1121"/>
    </bk>
    <bk>
      <rc t="1" v="1122"/>
    </bk>
    <bk>
      <rc t="1" v="1123"/>
    </bk>
    <bk>
      <rc t="1" v="1124"/>
    </bk>
    <bk>
      <rc t="1" v="1125"/>
    </bk>
    <bk>
      <rc t="1" v="1126"/>
    </bk>
    <bk>
      <rc t="1" v="1127"/>
    </bk>
    <bk>
      <rc t="1" v="1128"/>
    </bk>
    <bk>
      <rc t="1" v="1129"/>
    </bk>
    <bk>
      <rc t="1" v="1130"/>
    </bk>
    <bk>
      <rc t="1" v="1131"/>
    </bk>
    <bk>
      <rc t="1" v="1132"/>
    </bk>
    <bk>
      <rc t="1" v="1133"/>
    </bk>
    <bk>
      <rc t="1" v="1134"/>
    </bk>
    <bk>
      <rc t="1" v="1135"/>
    </bk>
    <bk>
      <rc t="1" v="1136"/>
    </bk>
    <bk>
      <rc t="1" v="1137"/>
    </bk>
    <bk>
      <rc t="1" v="1138"/>
    </bk>
    <bk>
      <rc t="1" v="1139"/>
    </bk>
    <bk>
      <rc t="1" v="1140"/>
    </bk>
    <bk>
      <rc t="1" v="1141"/>
    </bk>
    <bk>
      <rc t="1" v="1142"/>
    </bk>
    <bk>
      <rc t="1" v="1143"/>
    </bk>
    <bk>
      <rc t="1" v="1144"/>
    </bk>
    <bk>
      <rc t="1" v="1145"/>
    </bk>
    <bk>
      <rc t="1" v="1146"/>
    </bk>
    <bk>
      <rc t="1" v="1147"/>
    </bk>
    <bk>
      <rc t="1" v="1148"/>
    </bk>
    <bk>
      <rc t="1" v="1149"/>
    </bk>
    <bk>
      <rc t="1" v="1150"/>
    </bk>
    <bk>
      <rc t="1" v="1151"/>
    </bk>
    <bk>
      <rc t="1" v="1152"/>
    </bk>
    <bk>
      <rc t="1" v="1153"/>
    </bk>
    <bk>
      <rc t="1" v="1154"/>
    </bk>
    <bk>
      <rc t="1" v="1155"/>
    </bk>
    <bk>
      <rc t="1" v="1156"/>
    </bk>
    <bk>
      <rc t="1" v="1157"/>
    </bk>
    <bk>
      <rc t="1" v="1158"/>
    </bk>
    <bk>
      <rc t="1" v="1159"/>
    </bk>
    <bk>
      <rc t="1" v="1160"/>
    </bk>
    <bk>
      <rc t="1" v="1161"/>
    </bk>
    <bk>
      <rc t="1" v="1162"/>
    </bk>
    <bk>
      <rc t="1" v="1163"/>
    </bk>
    <bk>
      <rc t="1" v="1164"/>
    </bk>
    <bk>
      <rc t="1" v="1165"/>
    </bk>
    <bk>
      <rc t="1" v="1166"/>
    </bk>
    <bk>
      <rc t="1" v="1167"/>
    </bk>
    <bk>
      <rc t="1" v="1168"/>
    </bk>
    <bk>
      <rc t="1" v="1169"/>
    </bk>
    <bk>
      <rc t="1" v="1170"/>
    </bk>
    <bk>
      <rc t="1" v="1171"/>
    </bk>
    <bk>
      <rc t="1" v="1172"/>
    </bk>
    <bk>
      <rc t="1" v="1173"/>
    </bk>
    <bk>
      <rc t="1" v="1174"/>
    </bk>
    <bk>
      <rc t="1" v="1175"/>
    </bk>
    <bk>
      <rc t="1" v="1176"/>
    </bk>
    <bk>
      <rc t="1" v="1177"/>
    </bk>
    <bk>
      <rc t="1" v="1178"/>
    </bk>
    <bk>
      <rc t="1" v="1179"/>
    </bk>
    <bk>
      <rc t="1" v="1180"/>
    </bk>
    <bk>
      <rc t="1" v="1181"/>
    </bk>
    <bk>
      <rc t="1" v="1182"/>
    </bk>
    <bk>
      <rc t="1" v="1183"/>
    </bk>
    <bk>
      <rc t="1" v="1184"/>
    </bk>
    <bk>
      <rc t="1" v="1185"/>
    </bk>
    <bk>
      <rc t="1" v="1186"/>
    </bk>
    <bk>
      <rc t="1" v="1187"/>
    </bk>
    <bk>
      <rc t="1" v="1188"/>
    </bk>
    <bk>
      <rc t="1" v="1189"/>
    </bk>
    <bk>
      <rc t="1" v="1190"/>
    </bk>
    <bk>
      <rc t="1" v="1191"/>
    </bk>
    <bk>
      <rc t="1" v="1192"/>
    </bk>
    <bk>
      <rc t="1" v="1193"/>
    </bk>
    <bk>
      <rc t="1" v="1194"/>
    </bk>
    <bk>
      <rc t="1" v="1195"/>
    </bk>
    <bk>
      <rc t="1" v="1196"/>
    </bk>
    <bk>
      <rc t="1" v="1197"/>
    </bk>
    <bk>
      <rc t="1" v="1198"/>
    </bk>
    <bk>
      <rc t="1" v="1199"/>
    </bk>
    <bk>
      <rc t="1" v="1200"/>
    </bk>
    <bk>
      <rc t="1" v="1201"/>
    </bk>
    <bk>
      <rc t="1" v="1202"/>
    </bk>
    <bk>
      <rc t="1" v="1203"/>
    </bk>
    <bk>
      <rc t="1" v="1204"/>
    </bk>
    <bk>
      <rc t="1" v="1205"/>
    </bk>
    <bk>
      <rc t="1" v="1206"/>
    </bk>
    <bk>
      <rc t="1" v="1207"/>
    </bk>
    <bk>
      <rc t="1" v="1208"/>
    </bk>
    <bk>
      <rc t="1" v="1209"/>
    </bk>
    <bk>
      <rc t="1" v="1210"/>
    </bk>
    <bk>
      <rc t="1" v="1211"/>
    </bk>
    <bk>
      <rc t="1" v="1212"/>
    </bk>
    <bk>
      <rc t="1" v="1213"/>
    </bk>
    <bk>
      <rc t="1" v="1214"/>
    </bk>
    <bk>
      <rc t="1" v="1215"/>
    </bk>
    <bk>
      <rc t="1" v="1216"/>
    </bk>
    <bk>
      <rc t="1" v="1217"/>
    </bk>
    <bk>
      <rc t="1" v="1218"/>
    </bk>
    <bk>
      <rc t="1" v="1219"/>
    </bk>
    <bk>
      <rc t="1" v="1220"/>
    </bk>
    <bk>
      <rc t="1" v="1221"/>
    </bk>
    <bk>
      <rc t="1" v="1222"/>
    </bk>
    <bk>
      <rc t="1" v="1223"/>
    </bk>
    <bk>
      <rc t="1" v="1224"/>
    </bk>
    <bk>
      <rc t="1" v="1225"/>
    </bk>
    <bk>
      <rc t="1" v="1226"/>
    </bk>
    <bk>
      <rc t="1" v="1227"/>
    </bk>
    <bk>
      <rc t="1" v="1228"/>
    </bk>
    <bk>
      <rc t="1" v="1229"/>
    </bk>
    <bk>
      <rc t="1" v="1230"/>
    </bk>
    <bk>
      <rc t="1" v="1231"/>
    </bk>
    <bk>
      <rc t="1" v="1232"/>
    </bk>
    <bk>
      <rc t="1" v="1233"/>
    </bk>
    <bk>
      <rc t="1" v="1234"/>
    </bk>
    <bk>
      <rc t="1" v="1235"/>
    </bk>
    <bk>
      <rc t="1" v="1236"/>
    </bk>
    <bk>
      <rc t="1" v="1237"/>
    </bk>
    <bk>
      <rc t="1" v="1238"/>
    </bk>
    <bk>
      <rc t="1" v="1239"/>
    </bk>
    <bk>
      <rc t="1" v="1240"/>
    </bk>
    <bk>
      <rc t="1" v="1241"/>
    </bk>
    <bk>
      <rc t="1" v="1242"/>
    </bk>
    <bk>
      <rc t="1" v="1243"/>
    </bk>
    <bk>
      <rc t="1" v="1244"/>
    </bk>
    <bk>
      <rc t="1" v="1245"/>
    </bk>
    <bk>
      <rc t="1" v="1246"/>
    </bk>
    <bk>
      <rc t="1" v="1247"/>
    </bk>
    <bk>
      <rc t="1" v="1248"/>
    </bk>
    <bk>
      <rc t="1" v="1249"/>
    </bk>
    <bk>
      <rc t="1" v="1250"/>
    </bk>
    <bk>
      <rc t="1" v="1251"/>
    </bk>
    <bk>
      <rc t="1" v="1252"/>
    </bk>
    <bk>
      <rc t="1" v="1253"/>
    </bk>
    <bk>
      <rc t="1" v="1254"/>
    </bk>
    <bk>
      <rc t="1" v="1255"/>
    </bk>
    <bk>
      <rc t="1" v="1256"/>
    </bk>
    <bk>
      <rc t="1" v="1257"/>
    </bk>
    <bk>
      <rc t="1" v="1258"/>
    </bk>
    <bk>
      <rc t="1" v="1259"/>
    </bk>
    <bk>
      <rc t="1" v="1260"/>
    </bk>
    <bk>
      <rc t="1" v="1261"/>
    </bk>
    <bk>
      <rc t="1" v="1262"/>
    </bk>
    <bk>
      <rc t="1" v="1263"/>
    </bk>
    <bk>
      <rc t="1" v="1264"/>
    </bk>
    <bk>
      <rc t="1" v="1265"/>
    </bk>
    <bk>
      <rc t="1" v="1266"/>
    </bk>
    <bk>
      <rc t="1" v="1267"/>
    </bk>
    <bk>
      <rc t="1" v="1268"/>
    </bk>
    <bk>
      <rc t="1" v="1269"/>
    </bk>
    <bk>
      <rc t="1" v="1270"/>
    </bk>
    <bk>
      <rc t="1" v="1271"/>
    </bk>
    <bk>
      <rc t="1" v="1272"/>
    </bk>
    <bk>
      <rc t="1" v="1273"/>
    </bk>
    <bk>
      <rc t="1" v="1274"/>
    </bk>
    <bk>
      <rc t="1" v="1275"/>
    </bk>
    <bk>
      <rc t="1" v="1276"/>
    </bk>
    <bk>
      <rc t="1" v="1277"/>
    </bk>
    <bk>
      <rc t="1" v="1278"/>
    </bk>
    <bk>
      <rc t="1" v="1279"/>
    </bk>
    <bk>
      <rc t="1" v="1280"/>
    </bk>
    <bk>
      <rc t="1" v="1281"/>
    </bk>
    <bk>
      <rc t="1" v="1282"/>
    </bk>
    <bk>
      <rc t="1" v="1283"/>
    </bk>
    <bk>
      <rc t="1" v="1284"/>
    </bk>
    <bk>
      <rc t="1" v="1285"/>
    </bk>
    <bk>
      <rc t="1" v="1286"/>
    </bk>
    <bk>
      <rc t="1" v="1287"/>
    </bk>
    <bk>
      <rc t="1" v="1288"/>
    </bk>
    <bk>
      <rc t="1" v="1289"/>
    </bk>
    <bk>
      <rc t="1" v="1290"/>
    </bk>
    <bk>
      <rc t="1" v="1291"/>
    </bk>
    <bk>
      <rc t="1" v="1292"/>
    </bk>
    <bk>
      <rc t="1" v="1293"/>
    </bk>
    <bk>
      <rc t="1" v="1294"/>
    </bk>
    <bk>
      <rc t="1" v="1295"/>
    </bk>
    <bk>
      <rc t="1" v="1296"/>
    </bk>
    <bk>
      <rc t="1" v="1297"/>
    </bk>
    <bk>
      <rc t="1" v="1298"/>
    </bk>
    <bk>
      <rc t="1" v="1299"/>
    </bk>
    <bk>
      <rc t="1" v="1300"/>
    </bk>
    <bk>
      <rc t="1" v="1301"/>
    </bk>
    <bk>
      <rc t="1" v="1302"/>
    </bk>
    <bk>
      <rc t="1" v="1303"/>
    </bk>
    <bk>
      <rc t="1" v="1304"/>
    </bk>
    <bk>
      <rc t="1" v="1305"/>
    </bk>
    <bk>
      <rc t="1" v="1306"/>
    </bk>
    <bk>
      <rc t="1" v="1307"/>
    </bk>
    <bk>
      <rc t="1" v="1308"/>
    </bk>
    <bk>
      <rc t="1" v="1309"/>
    </bk>
    <bk>
      <rc t="1" v="1310"/>
    </bk>
    <bk>
      <rc t="1" v="1311"/>
    </bk>
    <bk>
      <rc t="1" v="1312"/>
    </bk>
    <bk>
      <rc t="1" v="1313"/>
    </bk>
    <bk>
      <rc t="1" v="1314"/>
    </bk>
    <bk>
      <rc t="1" v="1315"/>
    </bk>
    <bk>
      <rc t="1" v="1316"/>
    </bk>
    <bk>
      <rc t="1" v="1317"/>
    </bk>
    <bk>
      <rc t="1" v="1318"/>
    </bk>
    <bk>
      <rc t="1" v="1319"/>
    </bk>
    <bk>
      <rc t="1" v="1320"/>
    </bk>
    <bk>
      <rc t="1" v="1321"/>
    </bk>
    <bk>
      <rc t="1" v="1322"/>
    </bk>
    <bk>
      <rc t="1" v="1323"/>
    </bk>
    <bk>
      <rc t="1" v="1324"/>
    </bk>
    <bk>
      <rc t="1" v="1325"/>
    </bk>
    <bk>
      <rc t="1" v="1326"/>
    </bk>
    <bk>
      <rc t="1" v="1327"/>
    </bk>
    <bk>
      <rc t="1" v="1328"/>
    </bk>
    <bk>
      <rc t="1" v="1329"/>
    </bk>
    <bk>
      <rc t="1" v="1330"/>
    </bk>
    <bk>
      <rc t="1" v="1331"/>
    </bk>
    <bk>
      <rc t="1" v="1332"/>
    </bk>
    <bk>
      <rc t="1" v="1333"/>
    </bk>
    <bk>
      <rc t="1" v="1334"/>
    </bk>
    <bk>
      <rc t="1" v="1335"/>
    </bk>
    <bk>
      <rc t="1" v="1336"/>
    </bk>
    <bk>
      <rc t="1" v="1337"/>
    </bk>
    <bk>
      <rc t="1" v="1338"/>
    </bk>
    <bk>
      <rc t="1" v="1339"/>
    </bk>
    <bk>
      <rc t="1" v="1340"/>
    </bk>
    <bk>
      <rc t="1" v="1341"/>
    </bk>
    <bk>
      <rc t="1" v="1342"/>
    </bk>
    <bk>
      <rc t="1" v="1343"/>
    </bk>
    <bk>
      <rc t="1" v="1344"/>
    </bk>
    <bk>
      <rc t="1" v="1345"/>
    </bk>
    <bk>
      <rc t="1" v="1346"/>
    </bk>
    <bk>
      <rc t="1" v="1347"/>
    </bk>
    <bk>
      <rc t="1" v="1348"/>
    </bk>
    <bk>
      <rc t="1" v="1349"/>
    </bk>
    <bk>
      <rc t="1" v="1350"/>
    </bk>
    <bk>
      <rc t="1" v="1351"/>
    </bk>
    <bk>
      <rc t="1" v="1352"/>
    </bk>
    <bk>
      <rc t="1" v="1353"/>
    </bk>
    <bk>
      <rc t="1" v="1354"/>
    </bk>
    <bk>
      <rc t="1" v="1355"/>
    </bk>
    <bk>
      <rc t="1" v="1356"/>
    </bk>
    <bk>
      <rc t="1" v="1357"/>
    </bk>
    <bk>
      <rc t="1" v="1358"/>
    </bk>
    <bk>
      <rc t="1" v="1359"/>
    </bk>
    <bk>
      <rc t="1" v="1360"/>
    </bk>
    <bk>
      <rc t="1" v="1361"/>
    </bk>
    <bk>
      <rc t="1" v="1362"/>
    </bk>
    <bk>
      <rc t="1" v="1363"/>
    </bk>
    <bk>
      <rc t="1" v="1364"/>
    </bk>
    <bk>
      <rc t="1" v="1365"/>
    </bk>
    <bk>
      <rc t="1" v="1366"/>
    </bk>
    <bk>
      <rc t="1" v="1367"/>
    </bk>
    <bk>
      <rc t="1" v="1368"/>
    </bk>
    <bk>
      <rc t="1" v="1369"/>
    </bk>
    <bk>
      <rc t="1" v="1370"/>
    </bk>
    <bk>
      <rc t="1" v="1371"/>
    </bk>
    <bk>
      <rc t="1" v="1372"/>
    </bk>
    <bk>
      <rc t="1" v="1373"/>
    </bk>
    <bk>
      <rc t="1" v="1374"/>
    </bk>
    <bk>
      <rc t="1" v="1375"/>
    </bk>
    <bk>
      <rc t="1" v="1376"/>
    </bk>
    <bk>
      <rc t="1" v="1377"/>
    </bk>
    <bk>
      <rc t="1" v="1378"/>
    </bk>
    <bk>
      <rc t="1" v="1379"/>
    </bk>
    <bk>
      <rc t="1" v="1380"/>
    </bk>
    <bk>
      <rc t="1" v="1381"/>
    </bk>
    <bk>
      <rc t="1" v="1382"/>
    </bk>
    <bk>
      <rc t="1" v="1383"/>
    </bk>
    <bk>
      <rc t="1" v="1384"/>
    </bk>
    <bk>
      <rc t="1" v="1385"/>
    </bk>
    <bk>
      <rc t="1" v="1386"/>
    </bk>
    <bk>
      <rc t="1" v="1387"/>
    </bk>
    <bk>
      <rc t="1" v="1388"/>
    </bk>
    <bk>
      <rc t="1" v="1389"/>
    </bk>
    <bk>
      <rc t="1" v="1390"/>
    </bk>
    <bk>
      <rc t="1" v="1391"/>
    </bk>
    <bk>
      <rc t="1" v="1392"/>
    </bk>
    <bk>
      <rc t="1" v="1393"/>
    </bk>
    <bk>
      <rc t="1" v="1394"/>
    </bk>
    <bk>
      <rc t="1" v="1395"/>
    </bk>
    <bk>
      <rc t="1" v="1396"/>
    </bk>
    <bk>
      <rc t="1" v="1397"/>
    </bk>
    <bk>
      <rc t="1" v="1398"/>
    </bk>
    <bk>
      <rc t="1" v="1399"/>
    </bk>
    <bk>
      <rc t="1" v="1400"/>
    </bk>
    <bk>
      <rc t="1" v="1401"/>
    </bk>
    <bk>
      <rc t="1" v="1402"/>
    </bk>
    <bk>
      <rc t="1" v="1403"/>
    </bk>
    <bk>
      <rc t="1" v="1404"/>
    </bk>
    <bk>
      <rc t="1" v="1405"/>
    </bk>
    <bk>
      <rc t="1" v="1406"/>
    </bk>
    <bk>
      <rc t="1" v="1407"/>
    </bk>
    <bk>
      <rc t="1" v="1408"/>
    </bk>
    <bk>
      <rc t="1" v="1409"/>
    </bk>
    <bk>
      <rc t="1" v="1410"/>
    </bk>
    <bk>
      <rc t="1" v="1411"/>
    </bk>
    <bk>
      <rc t="1" v="1412"/>
    </bk>
    <bk>
      <rc t="1" v="1413"/>
    </bk>
    <bk>
      <rc t="1" v="1414"/>
    </bk>
    <bk>
      <rc t="1" v="1415"/>
    </bk>
    <bk>
      <rc t="1" v="1416"/>
    </bk>
    <bk>
      <rc t="1" v="1417"/>
    </bk>
    <bk>
      <rc t="1" v="1418"/>
    </bk>
    <bk>
      <rc t="1" v="1419"/>
    </bk>
    <bk>
      <rc t="1" v="1420"/>
    </bk>
    <bk>
      <rc t="1" v="1421"/>
    </bk>
    <bk>
      <rc t="1" v="1422"/>
    </bk>
    <bk>
      <rc t="1" v="1423"/>
    </bk>
    <bk>
      <rc t="1" v="1424"/>
    </bk>
    <bk>
      <rc t="1" v="1425"/>
    </bk>
    <bk>
      <rc t="1" v="1426"/>
    </bk>
    <bk>
      <rc t="1" v="1427"/>
    </bk>
    <bk>
      <rc t="1" v="1428"/>
    </bk>
    <bk>
      <rc t="1" v="1429"/>
    </bk>
    <bk>
      <rc t="1" v="1430"/>
    </bk>
    <bk>
      <rc t="1" v="1431"/>
    </bk>
    <bk>
      <rc t="1" v="1432"/>
    </bk>
    <bk>
      <rc t="1" v="1433"/>
    </bk>
    <bk>
      <rc t="1" v="1434"/>
    </bk>
    <bk>
      <rc t="1" v="1435"/>
    </bk>
    <bk>
      <rc t="1" v="1436"/>
    </bk>
    <bk>
      <rc t="1" v="1437"/>
    </bk>
    <bk>
      <rc t="1" v="1438"/>
    </bk>
    <bk>
      <rc t="1" v="1439"/>
    </bk>
    <bk>
      <rc t="1" v="1440"/>
    </bk>
    <bk>
      <rc t="1" v="1441"/>
    </bk>
    <bk>
      <rc t="1" v="1442"/>
    </bk>
    <bk>
      <rc t="1" v="1443"/>
    </bk>
    <bk>
      <rc t="1" v="1444"/>
    </bk>
    <bk>
      <rc t="1" v="1445"/>
    </bk>
    <bk>
      <rc t="1" v="1446"/>
    </bk>
    <bk>
      <rc t="1" v="1447"/>
    </bk>
    <bk>
      <rc t="1" v="1448"/>
    </bk>
    <bk>
      <rc t="1" v="1449"/>
    </bk>
    <bk>
      <rc t="1" v="1450"/>
    </bk>
    <bk>
      <rc t="1" v="1451"/>
    </bk>
    <bk>
      <rc t="1" v="1452"/>
    </bk>
    <bk>
      <rc t="1" v="1453"/>
    </bk>
    <bk>
      <rc t="1" v="1454"/>
    </bk>
    <bk>
      <rc t="1" v="1455"/>
    </bk>
    <bk>
      <rc t="1" v="1456"/>
    </bk>
    <bk>
      <rc t="1" v="1457"/>
    </bk>
    <bk>
      <rc t="1" v="1458"/>
    </bk>
    <bk>
      <rc t="1" v="1459"/>
    </bk>
    <bk>
      <rc t="1" v="1460"/>
    </bk>
    <bk>
      <rc t="1" v="1461"/>
    </bk>
    <bk>
      <rc t="1" v="1462"/>
    </bk>
    <bk>
      <rc t="1" v="1463"/>
    </bk>
    <bk>
      <rc t="1" v="1464"/>
    </bk>
    <bk>
      <rc t="1" v="1465"/>
    </bk>
    <bk>
      <rc t="1" v="1466"/>
    </bk>
    <bk>
      <rc t="1" v="1467"/>
    </bk>
    <bk>
      <rc t="1" v="1468"/>
    </bk>
    <bk>
      <rc t="1" v="1469"/>
    </bk>
    <bk>
      <rc t="1" v="1470"/>
    </bk>
    <bk>
      <rc t="1" v="1471"/>
    </bk>
    <bk>
      <rc t="1" v="1472"/>
    </bk>
    <bk>
      <rc t="1" v="1473"/>
    </bk>
    <bk>
      <rc t="1" v="1474"/>
    </bk>
    <bk>
      <rc t="1" v="1475"/>
    </bk>
    <bk>
      <rc t="1" v="1476"/>
    </bk>
    <bk>
      <rc t="1" v="1477"/>
    </bk>
    <bk>
      <rc t="1" v="1478"/>
    </bk>
    <bk>
      <rc t="1" v="1479"/>
    </bk>
    <bk>
      <rc t="1" v="1480"/>
    </bk>
    <bk>
      <rc t="1" v="1481"/>
    </bk>
    <bk>
      <rc t="1" v="1482"/>
    </bk>
    <bk>
      <rc t="1" v="1483"/>
    </bk>
    <bk>
      <rc t="1" v="1484"/>
    </bk>
    <bk>
      <rc t="1" v="1485"/>
    </bk>
    <bk>
      <rc t="1" v="1486"/>
    </bk>
    <bk>
      <rc t="1" v="1487"/>
    </bk>
    <bk>
      <rc t="1" v="1488"/>
    </bk>
    <bk>
      <rc t="1" v="1489"/>
    </bk>
    <bk>
      <rc t="1" v="1490"/>
    </bk>
    <bk>
      <rc t="1" v="1491"/>
    </bk>
    <bk>
      <rc t="1" v="1492"/>
    </bk>
    <bk>
      <rc t="1" v="1493"/>
    </bk>
    <bk>
      <rc t="1" v="1494"/>
    </bk>
    <bk>
      <rc t="1" v="1495"/>
    </bk>
    <bk>
      <rc t="1" v="1496"/>
    </bk>
    <bk>
      <rc t="1" v="1497"/>
    </bk>
    <bk>
      <rc t="1" v="1498"/>
    </bk>
    <bk>
      <rc t="1" v="1499"/>
    </bk>
    <bk>
      <rc t="1" v="1500"/>
    </bk>
    <bk>
      <rc t="1" v="1501"/>
    </bk>
    <bk>
      <rc t="1" v="1502"/>
    </bk>
    <bk>
      <rc t="1" v="1503"/>
    </bk>
    <bk>
      <rc t="1" v="1504"/>
    </bk>
    <bk>
      <rc t="1" v="1505"/>
    </bk>
    <bk>
      <rc t="1" v="1506"/>
    </bk>
    <bk>
      <rc t="1" v="1507"/>
    </bk>
    <bk>
      <rc t="1" v="1508"/>
    </bk>
    <bk>
      <rc t="1" v="1509"/>
    </bk>
    <bk>
      <rc t="1" v="1510"/>
    </bk>
    <bk>
      <rc t="1" v="1511"/>
    </bk>
    <bk>
      <rc t="1" v="1512"/>
    </bk>
    <bk>
      <rc t="1" v="1513"/>
    </bk>
    <bk>
      <rc t="1" v="1514"/>
    </bk>
    <bk>
      <rc t="1" v="1515"/>
    </bk>
    <bk>
      <rc t="1" v="1516"/>
    </bk>
    <bk>
      <rc t="1" v="1517"/>
    </bk>
    <bk>
      <rc t="1" v="1518"/>
    </bk>
    <bk>
      <rc t="1" v="1519"/>
    </bk>
    <bk>
      <rc t="1" v="1520"/>
    </bk>
    <bk>
      <rc t="1" v="1521"/>
    </bk>
    <bk>
      <rc t="1" v="1522"/>
    </bk>
    <bk>
      <rc t="1" v="1523"/>
    </bk>
    <bk>
      <rc t="1" v="1524"/>
    </bk>
    <bk>
      <rc t="1" v="1525"/>
    </bk>
    <bk>
      <rc t="1" v="1526"/>
    </bk>
    <bk>
      <rc t="1" v="1527"/>
    </bk>
    <bk>
      <rc t="1" v="1528"/>
    </bk>
    <bk>
      <rc t="1" v="1529"/>
    </bk>
    <bk>
      <rc t="1" v="1530"/>
    </bk>
    <bk>
      <rc t="1" v="1531"/>
    </bk>
    <bk>
      <rc t="1" v="1532"/>
    </bk>
    <bk>
      <rc t="1" v="1533"/>
    </bk>
    <bk>
      <rc t="1" v="1534"/>
    </bk>
    <bk>
      <rc t="1" v="1535"/>
    </bk>
    <bk>
      <rc t="1" v="1536"/>
    </bk>
    <bk>
      <rc t="1" v="1537"/>
    </bk>
    <bk>
      <rc t="1" v="1538"/>
    </bk>
    <bk>
      <rc t="1" v="1539"/>
    </bk>
    <bk>
      <rc t="1" v="1540"/>
    </bk>
    <bk>
      <rc t="1" v="1541"/>
    </bk>
    <bk>
      <rc t="1" v="1542"/>
    </bk>
    <bk>
      <rc t="1" v="1543"/>
    </bk>
    <bk>
      <rc t="1" v="1544"/>
    </bk>
    <bk>
      <rc t="1" v="1545"/>
    </bk>
    <bk>
      <rc t="1" v="1546"/>
    </bk>
    <bk>
      <rc t="1" v="1547"/>
    </bk>
    <bk>
      <rc t="1" v="1548"/>
    </bk>
    <bk>
      <rc t="1" v="1549"/>
    </bk>
    <bk>
      <rc t="1" v="1550"/>
    </bk>
    <bk>
      <rc t="1" v="1551"/>
    </bk>
    <bk>
      <rc t="1" v="1552"/>
    </bk>
    <bk>
      <rc t="1" v="1553"/>
    </bk>
    <bk>
      <rc t="1" v="1554"/>
    </bk>
    <bk>
      <rc t="1" v="1555"/>
    </bk>
    <bk>
      <rc t="1" v="1556"/>
    </bk>
    <bk>
      <rc t="1" v="1557"/>
    </bk>
    <bk>
      <rc t="1" v="1558"/>
    </bk>
    <bk>
      <rc t="1" v="1559"/>
    </bk>
    <bk>
      <rc t="1" v="1560"/>
    </bk>
    <bk>
      <rc t="1" v="1561"/>
    </bk>
    <bk>
      <rc t="1" v="1562"/>
    </bk>
    <bk>
      <rc t="1" v="1563"/>
    </bk>
    <bk>
      <rc t="1" v="1564"/>
    </bk>
    <bk>
      <rc t="1" v="1565"/>
    </bk>
    <bk>
      <rc t="1" v="1566"/>
    </bk>
    <bk>
      <rc t="1" v="1567"/>
    </bk>
    <bk>
      <rc t="1" v="1568"/>
    </bk>
    <bk>
      <rc t="1" v="1569"/>
    </bk>
    <bk>
      <rc t="1" v="1570"/>
    </bk>
    <bk>
      <rc t="1" v="1571"/>
    </bk>
    <bk>
      <rc t="1" v="1572"/>
    </bk>
    <bk>
      <rc t="1" v="1573"/>
    </bk>
    <bk>
      <rc t="1" v="1574"/>
    </bk>
    <bk>
      <rc t="1" v="1575"/>
    </bk>
    <bk>
      <rc t="1" v="1576"/>
    </bk>
    <bk>
      <rc t="1" v="1577"/>
    </bk>
    <bk>
      <rc t="1" v="1578"/>
    </bk>
    <bk>
      <rc t="1" v="1579"/>
    </bk>
    <bk>
      <rc t="1" v="1580"/>
    </bk>
    <bk>
      <rc t="1" v="1581"/>
    </bk>
    <bk>
      <rc t="1" v="1582"/>
    </bk>
    <bk>
      <rc t="1" v="1583"/>
    </bk>
    <bk>
      <rc t="1" v="1584"/>
    </bk>
    <bk>
      <rc t="1" v="1585"/>
    </bk>
    <bk>
      <rc t="1" v="1586"/>
    </bk>
    <bk>
      <rc t="1" v="1587"/>
    </bk>
    <bk>
      <rc t="1" v="1588"/>
    </bk>
    <bk>
      <rc t="1" v="1589"/>
    </bk>
    <bk>
      <rc t="1" v="1590"/>
    </bk>
    <bk>
      <rc t="1" v="1591"/>
    </bk>
    <bk>
      <rc t="1" v="1592"/>
    </bk>
    <bk>
      <rc t="1" v="1593"/>
    </bk>
    <bk>
      <rc t="1" v="1594"/>
    </bk>
    <bk>
      <rc t="1" v="1595"/>
    </bk>
    <bk>
      <rc t="1" v="1596"/>
    </bk>
    <bk>
      <rc t="1" v="1597"/>
    </bk>
    <bk>
      <rc t="1" v="1598"/>
    </bk>
    <bk>
      <rc t="1" v="1599"/>
    </bk>
    <bk>
      <rc t="1" v="1600"/>
    </bk>
    <bk>
      <rc t="1" v="1601"/>
    </bk>
    <bk>
      <rc t="1" v="1602"/>
    </bk>
    <bk>
      <rc t="1" v="1603"/>
    </bk>
    <bk>
      <rc t="1" v="1604"/>
    </bk>
    <bk>
      <rc t="1" v="1605"/>
    </bk>
    <bk>
      <rc t="1" v="1606"/>
    </bk>
    <bk>
      <rc t="1" v="1607"/>
    </bk>
    <bk>
      <rc t="1" v="1608"/>
    </bk>
    <bk>
      <rc t="1" v="1609"/>
    </bk>
    <bk>
      <rc t="1" v="1610"/>
    </bk>
    <bk>
      <rc t="1" v="1611"/>
    </bk>
    <bk>
      <rc t="1" v="1612"/>
    </bk>
    <bk>
      <rc t="1" v="1613"/>
    </bk>
    <bk>
      <rc t="1" v="1614"/>
    </bk>
    <bk>
      <rc t="1" v="1615"/>
    </bk>
    <bk>
      <rc t="1" v="1616"/>
    </bk>
    <bk>
      <rc t="1" v="1617"/>
    </bk>
    <bk>
      <rc t="1" v="1618"/>
    </bk>
    <bk>
      <rc t="1" v="1619"/>
    </bk>
    <bk>
      <rc t="1" v="1620"/>
    </bk>
    <bk>
      <rc t="1" v="1621"/>
    </bk>
    <bk>
      <rc t="1" v="1622"/>
    </bk>
    <bk>
      <rc t="1" v="1623"/>
    </bk>
    <bk>
      <rc t="1" v="1624"/>
    </bk>
    <bk>
      <rc t="1" v="1625"/>
    </bk>
    <bk>
      <rc t="1" v="1626"/>
    </bk>
    <bk>
      <rc t="1" v="1627"/>
    </bk>
    <bk>
      <rc t="1" v="1628"/>
    </bk>
    <bk>
      <rc t="1" v="1629"/>
    </bk>
    <bk>
      <rc t="1" v="1630"/>
    </bk>
    <bk>
      <rc t="1" v="1631"/>
    </bk>
    <bk>
      <rc t="1" v="1632"/>
    </bk>
    <bk>
      <rc t="1" v="1633"/>
    </bk>
    <bk>
      <rc t="1" v="1634"/>
    </bk>
    <bk>
      <rc t="1" v="1635"/>
    </bk>
    <bk>
      <rc t="1" v="1636"/>
    </bk>
    <bk>
      <rc t="1" v="1637"/>
    </bk>
    <bk>
      <rc t="1" v="1638"/>
    </bk>
    <bk>
      <rc t="1" v="1639"/>
    </bk>
    <bk>
      <rc t="1" v="1640"/>
    </bk>
    <bk>
      <rc t="1" v="1641"/>
    </bk>
    <bk>
      <rc t="1" v="1642"/>
    </bk>
    <bk>
      <rc t="1" v="1643"/>
    </bk>
    <bk>
      <rc t="1" v="1644"/>
    </bk>
    <bk>
      <rc t="1" v="1645"/>
    </bk>
    <bk>
      <rc t="1" v="1646"/>
    </bk>
    <bk>
      <rc t="1" v="1647"/>
    </bk>
    <bk>
      <rc t="1" v="1648"/>
    </bk>
    <bk>
      <rc t="1" v="1649"/>
    </bk>
    <bk>
      <rc t="1" v="1650"/>
    </bk>
    <bk>
      <rc t="1" v="1651"/>
    </bk>
    <bk>
      <rc t="1" v="1652"/>
    </bk>
    <bk>
      <rc t="1" v="1653"/>
    </bk>
    <bk>
      <rc t="1" v="1654"/>
    </bk>
    <bk>
      <rc t="1" v="1655"/>
    </bk>
    <bk>
      <rc t="1" v="1656"/>
    </bk>
    <bk>
      <rc t="1" v="1657"/>
    </bk>
    <bk>
      <rc t="1" v="1658"/>
    </bk>
    <bk>
      <rc t="1" v="1659"/>
    </bk>
    <bk>
      <rc t="1" v="1660"/>
    </bk>
    <bk>
      <rc t="1" v="1661"/>
    </bk>
    <bk>
      <rc t="1" v="1662"/>
    </bk>
    <bk>
      <rc t="1" v="1663"/>
    </bk>
    <bk>
      <rc t="1" v="1664"/>
    </bk>
    <bk>
      <rc t="1" v="1665"/>
    </bk>
    <bk>
      <rc t="1" v="1666"/>
    </bk>
    <bk>
      <rc t="1" v="1667"/>
    </bk>
    <bk>
      <rc t="1" v="1668"/>
    </bk>
    <bk>
      <rc t="1" v="1669"/>
    </bk>
    <bk>
      <rc t="1" v="1670"/>
    </bk>
    <bk>
      <rc t="1" v="1671"/>
    </bk>
    <bk>
      <rc t="1" v="1672"/>
    </bk>
    <bk>
      <rc t="1" v="1673"/>
    </bk>
    <bk>
      <rc t="1" v="1674"/>
    </bk>
    <bk>
      <rc t="1" v="1675"/>
    </bk>
    <bk>
      <rc t="1" v="1676"/>
    </bk>
    <bk>
      <rc t="1" v="1677"/>
    </bk>
    <bk>
      <rc t="1" v="1678"/>
    </bk>
    <bk>
      <rc t="1" v="1679"/>
    </bk>
    <bk>
      <rc t="1" v="1680"/>
    </bk>
    <bk>
      <rc t="1" v="1681"/>
    </bk>
    <bk>
      <rc t="1" v="1682"/>
    </bk>
    <bk>
      <rc t="1" v="1683"/>
    </bk>
    <bk>
      <rc t="1" v="1684"/>
    </bk>
    <bk>
      <rc t="1" v="1685"/>
    </bk>
    <bk>
      <rc t="1" v="1686"/>
    </bk>
    <bk>
      <rc t="1" v="1687"/>
    </bk>
    <bk>
      <rc t="1" v="1688"/>
    </bk>
    <bk>
      <rc t="1" v="1689"/>
    </bk>
    <bk>
      <rc t="1" v="1690"/>
    </bk>
    <bk>
      <rc t="1" v="1691"/>
    </bk>
    <bk>
      <rc t="1" v="1692"/>
    </bk>
    <bk>
      <rc t="1" v="1693"/>
    </bk>
    <bk>
      <rc t="1" v="1694"/>
    </bk>
    <bk>
      <rc t="1" v="1695"/>
    </bk>
    <bk>
      <rc t="1" v="1696"/>
    </bk>
    <bk>
      <rc t="1" v="1697"/>
    </bk>
    <bk>
      <rc t="1" v="1698"/>
    </bk>
    <bk>
      <rc t="1" v="1699"/>
    </bk>
    <bk>
      <rc t="1" v="1700"/>
    </bk>
    <bk>
      <rc t="1" v="1701"/>
    </bk>
    <bk>
      <rc t="1" v="1702"/>
    </bk>
    <bk>
      <rc t="1" v="1703"/>
    </bk>
    <bk>
      <rc t="1" v="1704"/>
    </bk>
    <bk>
      <rc t="1" v="1705"/>
    </bk>
    <bk>
      <rc t="1" v="1706"/>
    </bk>
    <bk>
      <rc t="1" v="1707"/>
    </bk>
    <bk>
      <rc t="1" v="1708"/>
    </bk>
    <bk>
      <rc t="1" v="1709"/>
    </bk>
    <bk>
      <rc t="1" v="1710"/>
    </bk>
    <bk>
      <rc t="1" v="1711"/>
    </bk>
    <bk>
      <rc t="1" v="1712"/>
    </bk>
    <bk>
      <rc t="1" v="1713"/>
    </bk>
    <bk>
      <rc t="1" v="1714"/>
    </bk>
    <bk>
      <rc t="1" v="1715"/>
    </bk>
    <bk>
      <rc t="1" v="1716"/>
    </bk>
    <bk>
      <rc t="1" v="1717"/>
    </bk>
    <bk>
      <rc t="1" v="1718"/>
    </bk>
    <bk>
      <rc t="1" v="1719"/>
    </bk>
    <bk>
      <rc t="1" v="1720"/>
    </bk>
    <bk>
      <rc t="1" v="1721"/>
    </bk>
    <bk>
      <rc t="1" v="1722"/>
    </bk>
    <bk>
      <rc t="1" v="1723"/>
    </bk>
    <bk>
      <rc t="1" v="1724"/>
    </bk>
    <bk>
      <rc t="1" v="1725"/>
    </bk>
    <bk>
      <rc t="1" v="1726"/>
    </bk>
    <bk>
      <rc t="1" v="1727"/>
    </bk>
    <bk>
      <rc t="1" v="1728"/>
    </bk>
    <bk>
      <rc t="1" v="1729"/>
    </bk>
  </valueMetadata>
</metadata>
</file>

<file path=xl/sharedStrings.xml><?xml version="1.0" encoding="utf-8"?>
<sst xmlns="http://schemas.openxmlformats.org/spreadsheetml/2006/main" count="1892" uniqueCount="725">
  <si>
    <t>Annual Contract Value (ACV)</t>
  </si>
  <si>
    <t>Close Month</t>
  </si>
  <si>
    <t>USD</t>
  </si>
  <si>
    <t>Currency</t>
  </si>
  <si>
    <t>Client</t>
  </si>
  <si>
    <t>Client 44</t>
  </si>
  <si>
    <t>Client 45</t>
  </si>
  <si>
    <t>Client 46</t>
  </si>
  <si>
    <t>Client 47</t>
  </si>
  <si>
    <t>Client 48</t>
  </si>
  <si>
    <t>Client 49</t>
  </si>
  <si>
    <t>Client 50</t>
  </si>
  <si>
    <t>Client 51</t>
  </si>
  <si>
    <t>Client 52</t>
  </si>
  <si>
    <t>Client 53</t>
  </si>
  <si>
    <t>Client 54</t>
  </si>
  <si>
    <t>Client 55</t>
  </si>
  <si>
    <t>Client 56</t>
  </si>
  <si>
    <t>Client 57</t>
  </si>
  <si>
    <t>Client 58</t>
  </si>
  <si>
    <t>Client 59</t>
  </si>
  <si>
    <t>Client 60</t>
  </si>
  <si>
    <t>Client 61</t>
  </si>
  <si>
    <t>Client 62</t>
  </si>
  <si>
    <t>Client 63</t>
  </si>
  <si>
    <t>Client 64</t>
  </si>
  <si>
    <t>Client 65</t>
  </si>
  <si>
    <t>Client 66</t>
  </si>
  <si>
    <t>Client 67</t>
  </si>
  <si>
    <t>Client 68</t>
  </si>
  <si>
    <t>Client 69</t>
  </si>
  <si>
    <t>Client 70</t>
  </si>
  <si>
    <t>Client 71</t>
  </si>
  <si>
    <t>Client 72</t>
  </si>
  <si>
    <t>Client 73</t>
  </si>
  <si>
    <t>Client 74</t>
  </si>
  <si>
    <t>Client 75</t>
  </si>
  <si>
    <t>Client 76</t>
  </si>
  <si>
    <t>Client 77</t>
  </si>
  <si>
    <t>Client 78</t>
  </si>
  <si>
    <t>Client 79</t>
  </si>
  <si>
    <t>Client 80</t>
  </si>
  <si>
    <t>Client 81</t>
  </si>
  <si>
    <t>Client 82</t>
  </si>
  <si>
    <t>Client 83</t>
  </si>
  <si>
    <t>Client 84</t>
  </si>
  <si>
    <t>Client 85</t>
  </si>
  <si>
    <t>Client 86</t>
  </si>
  <si>
    <t>Client 87</t>
  </si>
  <si>
    <t>Client 88</t>
  </si>
  <si>
    <t>Client 89</t>
  </si>
  <si>
    <t>Client 90</t>
  </si>
  <si>
    <t>Client 91</t>
  </si>
  <si>
    <t>Client 92</t>
  </si>
  <si>
    <t>Client 93</t>
  </si>
  <si>
    <t>Client 94</t>
  </si>
  <si>
    <t>Client 95</t>
  </si>
  <si>
    <t>Client 96</t>
  </si>
  <si>
    <t>Client 97</t>
  </si>
  <si>
    <t>Client 98</t>
  </si>
  <si>
    <t>Client 99</t>
  </si>
  <si>
    <t>Client 100</t>
  </si>
  <si>
    <t>Client 101</t>
  </si>
  <si>
    <t>Client 102</t>
  </si>
  <si>
    <t>Client 103</t>
  </si>
  <si>
    <t>Client 104</t>
  </si>
  <si>
    <t>Client 105</t>
  </si>
  <si>
    <t>Client 106</t>
  </si>
  <si>
    <t>Client 107</t>
  </si>
  <si>
    <t>Client 108</t>
  </si>
  <si>
    <t>Client 109</t>
  </si>
  <si>
    <t>Client 110</t>
  </si>
  <si>
    <t>Client 111</t>
  </si>
  <si>
    <t>Client 112</t>
  </si>
  <si>
    <t>Client 113</t>
  </si>
  <si>
    <t>Client 114</t>
  </si>
  <si>
    <t>Client 115</t>
  </si>
  <si>
    <t>Client 116</t>
  </si>
  <si>
    <t>Client 117</t>
  </si>
  <si>
    <t>Client 118</t>
  </si>
  <si>
    <t>Client 119</t>
  </si>
  <si>
    <t>Client 120</t>
  </si>
  <si>
    <t>Client 121</t>
  </si>
  <si>
    <t>Client 122</t>
  </si>
  <si>
    <t>Client 123</t>
  </si>
  <si>
    <t>Client 124</t>
  </si>
  <si>
    <t>Client 125</t>
  </si>
  <si>
    <t>Client 126</t>
  </si>
  <si>
    <t>Client 127</t>
  </si>
  <si>
    <t>Client 128</t>
  </si>
  <si>
    <t>Client 129</t>
  </si>
  <si>
    <t>Client 130</t>
  </si>
  <si>
    <t>Client 131</t>
  </si>
  <si>
    <t>Client 132</t>
  </si>
  <si>
    <t>Client 133</t>
  </si>
  <si>
    <t>Client 134</t>
  </si>
  <si>
    <t>Client 135</t>
  </si>
  <si>
    <t>Client 136</t>
  </si>
  <si>
    <t>Client 137</t>
  </si>
  <si>
    <t>Client 138</t>
  </si>
  <si>
    <t>Client 139</t>
  </si>
  <si>
    <t>Client 140</t>
  </si>
  <si>
    <t>Client 141</t>
  </si>
  <si>
    <t>Client 142</t>
  </si>
  <si>
    <t>Client 143</t>
  </si>
  <si>
    <t>Client 144</t>
  </si>
  <si>
    <t>Client 145</t>
  </si>
  <si>
    <t>Client 146</t>
  </si>
  <si>
    <t>Client 147</t>
  </si>
  <si>
    <t>Client 148</t>
  </si>
  <si>
    <t>Client 149</t>
  </si>
  <si>
    <t>Client 150</t>
  </si>
  <si>
    <t>Client 151</t>
  </si>
  <si>
    <t>Client 152</t>
  </si>
  <si>
    <t>Client 153</t>
  </si>
  <si>
    <t>Client 154</t>
  </si>
  <si>
    <t>Client 155</t>
  </si>
  <si>
    <t>Client 156</t>
  </si>
  <si>
    <t>Client 157</t>
  </si>
  <si>
    <t>Client 158</t>
  </si>
  <si>
    <t>Client 159</t>
  </si>
  <si>
    <t>Client 160</t>
  </si>
  <si>
    <t>Client 161</t>
  </si>
  <si>
    <t>Client 162</t>
  </si>
  <si>
    <t>Client 163</t>
  </si>
  <si>
    <t>Client 164</t>
  </si>
  <si>
    <t>Client 165</t>
  </si>
  <si>
    <t>Client 166</t>
  </si>
  <si>
    <t>Client 167</t>
  </si>
  <si>
    <t>Client 168</t>
  </si>
  <si>
    <t>Client 169</t>
  </si>
  <si>
    <t>Client 170</t>
  </si>
  <si>
    <t>Client 171</t>
  </si>
  <si>
    <t>Client 172</t>
  </si>
  <si>
    <t>Client 173</t>
  </si>
  <si>
    <t>Client 174</t>
  </si>
  <si>
    <t>Client 175</t>
  </si>
  <si>
    <t>Client 176</t>
  </si>
  <si>
    <t>Client 177</t>
  </si>
  <si>
    <t>Client 178</t>
  </si>
  <si>
    <t>Client 179</t>
  </si>
  <si>
    <t>Client 180</t>
  </si>
  <si>
    <t>Client 181</t>
  </si>
  <si>
    <t>Client 182</t>
  </si>
  <si>
    <t>Client 190</t>
  </si>
  <si>
    <t>Client 191</t>
  </si>
  <si>
    <t>Client 192</t>
  </si>
  <si>
    <t>Client 193</t>
  </si>
  <si>
    <t>Client 194</t>
  </si>
  <si>
    <t>Client 195</t>
  </si>
  <si>
    <t>Client 196</t>
  </si>
  <si>
    <t>Client 197</t>
  </si>
  <si>
    <t>Client 198</t>
  </si>
  <si>
    <t>Client 199</t>
  </si>
  <si>
    <t>Client 200</t>
  </si>
  <si>
    <t>Client 201</t>
  </si>
  <si>
    <t>Client 202</t>
  </si>
  <si>
    <t>Client 203</t>
  </si>
  <si>
    <t>Client 204</t>
  </si>
  <si>
    <t>Client 205</t>
  </si>
  <si>
    <t>Client 206</t>
  </si>
  <si>
    <t>Client 207</t>
  </si>
  <si>
    <t>Client 208</t>
  </si>
  <si>
    <t>Client 209</t>
  </si>
  <si>
    <t>Client 210</t>
  </si>
  <si>
    <t>Client 211</t>
  </si>
  <si>
    <t>Client 212</t>
  </si>
  <si>
    <t>Client 213</t>
  </si>
  <si>
    <t>Client 214</t>
  </si>
  <si>
    <t>Client 215</t>
  </si>
  <si>
    <t>Client 216</t>
  </si>
  <si>
    <t>Client 217</t>
  </si>
  <si>
    <t>Client 218</t>
  </si>
  <si>
    <t>Client 219</t>
  </si>
  <si>
    <t>Client 220</t>
  </si>
  <si>
    <t>Client 221</t>
  </si>
  <si>
    <t>Client 222</t>
  </si>
  <si>
    <t>Client 223</t>
  </si>
  <si>
    <t>Client 224</t>
  </si>
  <si>
    <t>Client 225</t>
  </si>
  <si>
    <t>Client 226</t>
  </si>
  <si>
    <t>Client 227</t>
  </si>
  <si>
    <t>Client 228</t>
  </si>
  <si>
    <t>Client 229</t>
  </si>
  <si>
    <t>Client 230</t>
  </si>
  <si>
    <t>Client 231</t>
  </si>
  <si>
    <t>Client 232</t>
  </si>
  <si>
    <t>Client 233</t>
  </si>
  <si>
    <t>Client 234</t>
  </si>
  <si>
    <t>Client 235</t>
  </si>
  <si>
    <t>Client 236</t>
  </si>
  <si>
    <t>Client 237</t>
  </si>
  <si>
    <t>Client 238</t>
  </si>
  <si>
    <t>Client 239</t>
  </si>
  <si>
    <t>Client 240</t>
  </si>
  <si>
    <t>Client 241</t>
  </si>
  <si>
    <t>Client 242</t>
  </si>
  <si>
    <t>Client 243</t>
  </si>
  <si>
    <t>Client 244</t>
  </si>
  <si>
    <t>Client 245</t>
  </si>
  <si>
    <t>Client 246</t>
  </si>
  <si>
    <t>Client 247</t>
  </si>
  <si>
    <t>Client 248</t>
  </si>
  <si>
    <t>Client 249</t>
  </si>
  <si>
    <t>Client 250</t>
  </si>
  <si>
    <t>Client 251</t>
  </si>
  <si>
    <t>Client 252</t>
  </si>
  <si>
    <t>Client 253</t>
  </si>
  <si>
    <t>Client 254</t>
  </si>
  <si>
    <t>Client 255</t>
  </si>
  <si>
    <t>Client 256</t>
  </si>
  <si>
    <t>Client 257</t>
  </si>
  <si>
    <t>Client 258</t>
  </si>
  <si>
    <t>Client 259</t>
  </si>
  <si>
    <t>Client 260</t>
  </si>
  <si>
    <t>Client 261</t>
  </si>
  <si>
    <t>Client 262</t>
  </si>
  <si>
    <t>Client 263</t>
  </si>
  <si>
    <t>Client 264</t>
  </si>
  <si>
    <t>Client 265</t>
  </si>
  <si>
    <t>Client 266</t>
  </si>
  <si>
    <t>Client 267</t>
  </si>
  <si>
    <t>Client 268</t>
  </si>
  <si>
    <t>Client 269</t>
  </si>
  <si>
    <t>Client 270</t>
  </si>
  <si>
    <t>Client 271</t>
  </si>
  <si>
    <t>Client 272</t>
  </si>
  <si>
    <t>Client 273</t>
  </si>
  <si>
    <t>Client 274</t>
  </si>
  <si>
    <t>Client 275</t>
  </si>
  <si>
    <t>Client 276</t>
  </si>
  <si>
    <t>Client 277</t>
  </si>
  <si>
    <t>Client 278</t>
  </si>
  <si>
    <t>Client 279</t>
  </si>
  <si>
    <t>Client 280</t>
  </si>
  <si>
    <t>Client 281</t>
  </si>
  <si>
    <t>Client 282</t>
  </si>
  <si>
    <t>Client 283</t>
  </si>
  <si>
    <t>Client 284</t>
  </si>
  <si>
    <t>Client 285</t>
  </si>
  <si>
    <t>Client 286</t>
  </si>
  <si>
    <t>Client 287</t>
  </si>
  <si>
    <t>Client 288</t>
  </si>
  <si>
    <t>Client 289</t>
  </si>
  <si>
    <t>Client 290</t>
  </si>
  <si>
    <t>Client 291</t>
  </si>
  <si>
    <t>Client 292</t>
  </si>
  <si>
    <t>Client 293</t>
  </si>
  <si>
    <t>Client 294</t>
  </si>
  <si>
    <t>Client 295</t>
  </si>
  <si>
    <t>Client 296</t>
  </si>
  <si>
    <t>Client 297</t>
  </si>
  <si>
    <t>Client 298</t>
  </si>
  <si>
    <t>Client 299</t>
  </si>
  <si>
    <t>Client 300</t>
  </si>
  <si>
    <t>Client 301</t>
  </si>
  <si>
    <t>Client 302</t>
  </si>
  <si>
    <t>Client 303</t>
  </si>
  <si>
    <t>Client 304</t>
  </si>
  <si>
    <t>Client 305</t>
  </si>
  <si>
    <t>Client 306</t>
  </si>
  <si>
    <t>Client 307</t>
  </si>
  <si>
    <t>Client 308</t>
  </si>
  <si>
    <t>Client 309</t>
  </si>
  <si>
    <t>Client 310</t>
  </si>
  <si>
    <t>Client 311</t>
  </si>
  <si>
    <t>Client 312</t>
  </si>
  <si>
    <t>Client 313</t>
  </si>
  <si>
    <t>Client 314</t>
  </si>
  <si>
    <t>Client 315</t>
  </si>
  <si>
    <t>Client 316</t>
  </si>
  <si>
    <t>Client 317</t>
  </si>
  <si>
    <t>Client 318</t>
  </si>
  <si>
    <t>Client 319</t>
  </si>
  <si>
    <t>Client 320</t>
  </si>
  <si>
    <t>Client 321</t>
  </si>
  <si>
    <t>Client 322</t>
  </si>
  <si>
    <t>Client 323</t>
  </si>
  <si>
    <t>Client 324</t>
  </si>
  <si>
    <t>Client 325</t>
  </si>
  <si>
    <t>Client 326</t>
  </si>
  <si>
    <t>Client 327</t>
  </si>
  <si>
    <t>Client 328</t>
  </si>
  <si>
    <t>Client 329</t>
  </si>
  <si>
    <t>Client 330</t>
  </si>
  <si>
    <t>Client 331</t>
  </si>
  <si>
    <t>Client 332</t>
  </si>
  <si>
    <t>Client 333</t>
  </si>
  <si>
    <t>Client 334</t>
  </si>
  <si>
    <t>Client 335</t>
  </si>
  <si>
    <t>Client 336</t>
  </si>
  <si>
    <t>Client 337</t>
  </si>
  <si>
    <t>Client 338</t>
  </si>
  <si>
    <t>Client 381</t>
  </si>
  <si>
    <t>Client 382</t>
  </si>
  <si>
    <t>Client 383</t>
  </si>
  <si>
    <t>Client 384</t>
  </si>
  <si>
    <t>Client 385</t>
  </si>
  <si>
    <t>Client 386</t>
  </si>
  <si>
    <t>Client 387</t>
  </si>
  <si>
    <t>Client 388</t>
  </si>
  <si>
    <t>Client 389</t>
  </si>
  <si>
    <t>Client 390</t>
  </si>
  <si>
    <t>Client 391</t>
  </si>
  <si>
    <t>Client 392</t>
  </si>
  <si>
    <t>Client 393</t>
  </si>
  <si>
    <t>Client 394</t>
  </si>
  <si>
    <t>Client 395</t>
  </si>
  <si>
    <t>Client 396</t>
  </si>
  <si>
    <t>Client 397</t>
  </si>
  <si>
    <t>Client 398</t>
  </si>
  <si>
    <t>Client 399</t>
  </si>
  <si>
    <t>Client 400</t>
  </si>
  <si>
    <t>Client 401</t>
  </si>
  <si>
    <t>Client 402</t>
  </si>
  <si>
    <t>Client 403</t>
  </si>
  <si>
    <t>Client 404</t>
  </si>
  <si>
    <t>Client 405</t>
  </si>
  <si>
    <t>Client 406</t>
  </si>
  <si>
    <t>Client 407</t>
  </si>
  <si>
    <t>Client 408</t>
  </si>
  <si>
    <t>Client 409</t>
  </si>
  <si>
    <t>Client 410</t>
  </si>
  <si>
    <t>Client 411</t>
  </si>
  <si>
    <t>Client 412</t>
  </si>
  <si>
    <t>Client 413</t>
  </si>
  <si>
    <t>Client 414</t>
  </si>
  <si>
    <t>Client 415</t>
  </si>
  <si>
    <t>Client 416</t>
  </si>
  <si>
    <t>Client 418</t>
  </si>
  <si>
    <t>Client 419</t>
  </si>
  <si>
    <t>Client 420</t>
  </si>
  <si>
    <t>Client 421</t>
  </si>
  <si>
    <t>Client 422</t>
  </si>
  <si>
    <t>Client 423</t>
  </si>
  <si>
    <t>Client 424</t>
  </si>
  <si>
    <t>Client 425</t>
  </si>
  <si>
    <t>Client 426</t>
  </si>
  <si>
    <t>Client 427</t>
  </si>
  <si>
    <t>Client 428</t>
  </si>
  <si>
    <t>Client 429</t>
  </si>
  <si>
    <t>Client 430</t>
  </si>
  <si>
    <t>Client 431</t>
  </si>
  <si>
    <t>Client 432</t>
  </si>
  <si>
    <t>Client 433</t>
  </si>
  <si>
    <t>Client 434</t>
  </si>
  <si>
    <t>Client 435</t>
  </si>
  <si>
    <t>Client 436</t>
  </si>
  <si>
    <t>Client 437</t>
  </si>
  <si>
    <t>Client 438</t>
  </si>
  <si>
    <t>Client 439</t>
  </si>
  <si>
    <t>Client 440</t>
  </si>
  <si>
    <t>Client 441</t>
  </si>
  <si>
    <t>Client 442</t>
  </si>
  <si>
    <t>Client 443</t>
  </si>
  <si>
    <t>Client 444</t>
  </si>
  <si>
    <t>Client 445</t>
  </si>
  <si>
    <t>Client 446</t>
  </si>
  <si>
    <t>Client 447</t>
  </si>
  <si>
    <t>Client 448</t>
  </si>
  <si>
    <t>Client 449</t>
  </si>
  <si>
    <t>Client 450</t>
  </si>
  <si>
    <t>Client 451</t>
  </si>
  <si>
    <t>Client 452</t>
  </si>
  <si>
    <t>Client 453</t>
  </si>
  <si>
    <t>Client 454</t>
  </si>
  <si>
    <t>Client 455</t>
  </si>
  <si>
    <t>Client 456</t>
  </si>
  <si>
    <t>Client 457</t>
  </si>
  <si>
    <t>Client 458</t>
  </si>
  <si>
    <t>Client 459</t>
  </si>
  <si>
    <t>Client 460</t>
  </si>
  <si>
    <t>Client 461</t>
  </si>
  <si>
    <t>Client 462</t>
  </si>
  <si>
    <t>Client 463</t>
  </si>
  <si>
    <t>Client 464</t>
  </si>
  <si>
    <t>Client 465</t>
  </si>
  <si>
    <t>Client 466</t>
  </si>
  <si>
    <t>Client 467</t>
  </si>
  <si>
    <t>Client 481</t>
  </si>
  <si>
    <t>Client 482</t>
  </si>
  <si>
    <t>Client 483</t>
  </si>
  <si>
    <t>Client 484</t>
  </si>
  <si>
    <t>Client 485</t>
  </si>
  <si>
    <t>Client 486</t>
  </si>
  <si>
    <t>Client 487</t>
  </si>
  <si>
    <t>Client 488</t>
  </si>
  <si>
    <t>Client 489</t>
  </si>
  <si>
    <t>Client 490</t>
  </si>
  <si>
    <t>Client 491</t>
  </si>
  <si>
    <t>Client 492</t>
  </si>
  <si>
    <t>Client 493</t>
  </si>
  <si>
    <t>Client 494</t>
  </si>
  <si>
    <t>Client 495</t>
  </si>
  <si>
    <t>Client 496</t>
  </si>
  <si>
    <t>Client 497</t>
  </si>
  <si>
    <t>Client 498</t>
  </si>
  <si>
    <t>Client 499</t>
  </si>
  <si>
    <t>Client 500</t>
  </si>
  <si>
    <t>Client 501</t>
  </si>
  <si>
    <t>Client 502</t>
  </si>
  <si>
    <t>Client 503</t>
  </si>
  <si>
    <t>Client 504</t>
  </si>
  <si>
    <t>Client 505</t>
  </si>
  <si>
    <t>Client 506</t>
  </si>
  <si>
    <t>Client 507</t>
  </si>
  <si>
    <t>Client 508</t>
  </si>
  <si>
    <t>Client 509</t>
  </si>
  <si>
    <t>Client 510</t>
  </si>
  <si>
    <t>Client 511</t>
  </si>
  <si>
    <t>Client 512</t>
  </si>
  <si>
    <t>Client 513</t>
  </si>
  <si>
    <t>Client 514</t>
  </si>
  <si>
    <t>Client 515</t>
  </si>
  <si>
    <t>Client 516</t>
  </si>
  <si>
    <t>Client 517</t>
  </si>
  <si>
    <t>Client 518</t>
  </si>
  <si>
    <t>Client 519</t>
  </si>
  <si>
    <t>Client 520</t>
  </si>
  <si>
    <t>Client 521</t>
  </si>
  <si>
    <t>Client 522</t>
  </si>
  <si>
    <t>Client 523</t>
  </si>
  <si>
    <t>Client 524</t>
  </si>
  <si>
    <t>Client 525</t>
  </si>
  <si>
    <t>Client 526</t>
  </si>
  <si>
    <t>Client 527</t>
  </si>
  <si>
    <t>Client 528</t>
  </si>
  <si>
    <t>Client 529</t>
  </si>
  <si>
    <t>Client 530</t>
  </si>
  <si>
    <t>Client 531</t>
  </si>
  <si>
    <t>Client 532</t>
  </si>
  <si>
    <t>Client 564</t>
  </si>
  <si>
    <t>Client 565</t>
  </si>
  <si>
    <t>Client 566</t>
  </si>
  <si>
    <t>Client 567</t>
  </si>
  <si>
    <t>Client 568</t>
  </si>
  <si>
    <t>Client 569</t>
  </si>
  <si>
    <t>Client 570</t>
  </si>
  <si>
    <t>Client 571</t>
  </si>
  <si>
    <t>Client 572</t>
  </si>
  <si>
    <t>Client 573</t>
  </si>
  <si>
    <t>Client 574</t>
  </si>
  <si>
    <t>Client 575</t>
  </si>
  <si>
    <t>Client 576</t>
  </si>
  <si>
    <t>Client 577</t>
  </si>
  <si>
    <t>Client 578</t>
  </si>
  <si>
    <t>Client 579</t>
  </si>
  <si>
    <t>Client 580</t>
  </si>
  <si>
    <t>Client 581</t>
  </si>
  <si>
    <t>Client 582</t>
  </si>
  <si>
    <t>Client 583</t>
  </si>
  <si>
    <t>Client 584</t>
  </si>
  <si>
    <t>Client 585</t>
  </si>
  <si>
    <t>Client 586</t>
  </si>
  <si>
    <t>Client 587</t>
  </si>
  <si>
    <t>Client 588</t>
  </si>
  <si>
    <t>Client 589</t>
  </si>
  <si>
    <t>Client 590</t>
  </si>
  <si>
    <t>Client 591</t>
  </si>
  <si>
    <t>Client 592</t>
  </si>
  <si>
    <t>Client 593</t>
  </si>
  <si>
    <t>Client 594</t>
  </si>
  <si>
    <t>Client 595</t>
  </si>
  <si>
    <t>Client 596</t>
  </si>
  <si>
    <t>Client 597</t>
  </si>
  <si>
    <t>Client 598</t>
  </si>
  <si>
    <t>Client 599</t>
  </si>
  <si>
    <t>Client 600</t>
  </si>
  <si>
    <t>Client 601</t>
  </si>
  <si>
    <t>Client 602</t>
  </si>
  <si>
    <t>Client 603</t>
  </si>
  <si>
    <t>Client 604</t>
  </si>
  <si>
    <t>Client 605</t>
  </si>
  <si>
    <t>Client 606</t>
  </si>
  <si>
    <t>Client 607</t>
  </si>
  <si>
    <t>Client 608</t>
  </si>
  <si>
    <t>Client 609</t>
  </si>
  <si>
    <t>Client 610</t>
  </si>
  <si>
    <t>Client 611</t>
  </si>
  <si>
    <t>Client 612</t>
  </si>
  <si>
    <t>Client 613</t>
  </si>
  <si>
    <t>Client 614</t>
  </si>
  <si>
    <t>Client 615</t>
  </si>
  <si>
    <t>Client 616</t>
  </si>
  <si>
    <t>Client 637</t>
  </si>
  <si>
    <t>Client 638</t>
  </si>
  <si>
    <t>Client 639</t>
  </si>
  <si>
    <t>Client 640</t>
  </si>
  <si>
    <t>Client 641</t>
  </si>
  <si>
    <t>Client 642</t>
  </si>
  <si>
    <t>Client 643</t>
  </si>
  <si>
    <t>Client 644</t>
  </si>
  <si>
    <t>Client 645</t>
  </si>
  <si>
    <t>Client 646</t>
  </si>
  <si>
    <t>Client 647</t>
  </si>
  <si>
    <t>Client 648</t>
  </si>
  <si>
    <t>Client 649</t>
  </si>
  <si>
    <t>Client 650</t>
  </si>
  <si>
    <t>Client 651</t>
  </si>
  <si>
    <t>Client 652</t>
  </si>
  <si>
    <t>Client 653</t>
  </si>
  <si>
    <t>Client 654</t>
  </si>
  <si>
    <t>Client 655</t>
  </si>
  <si>
    <t>Client 656</t>
  </si>
  <si>
    <t>Client 657</t>
  </si>
  <si>
    <t>Client 658</t>
  </si>
  <si>
    <t>Client 659</t>
  </si>
  <si>
    <t>Client 660</t>
  </si>
  <si>
    <t>Client 661</t>
  </si>
  <si>
    <t>Sales Rep</t>
  </si>
  <si>
    <t>Rep 1</t>
  </si>
  <si>
    <t>Rep 12</t>
  </si>
  <si>
    <t>Rep 15</t>
  </si>
  <si>
    <t>Rep 16</t>
  </si>
  <si>
    <t>Rep 18</t>
  </si>
  <si>
    <t>Rep 20</t>
  </si>
  <si>
    <t>Rep 21</t>
  </si>
  <si>
    <t>Rep 27</t>
  </si>
  <si>
    <t>Rep 34</t>
  </si>
  <si>
    <t>Rep 36</t>
  </si>
  <si>
    <t>Rep 39</t>
  </si>
  <si>
    <t>Rep 48</t>
  </si>
  <si>
    <t>Client 999</t>
  </si>
  <si>
    <t>Client 998</t>
  </si>
  <si>
    <t>Client 997</t>
  </si>
  <si>
    <t>Client 996</t>
  </si>
  <si>
    <t>Client 995</t>
  </si>
  <si>
    <t>Client 994</t>
  </si>
  <si>
    <t>Client 993</t>
  </si>
  <si>
    <t>Client 992</t>
  </si>
  <si>
    <t>Client 991</t>
  </si>
  <si>
    <t>Client 990</t>
  </si>
  <si>
    <t>Client 989</t>
  </si>
  <si>
    <t>Client 988</t>
  </si>
  <si>
    <t>Client 987</t>
  </si>
  <si>
    <t>Client 986</t>
  </si>
  <si>
    <t>Client 985</t>
  </si>
  <si>
    <t>Client 984</t>
  </si>
  <si>
    <t>Client 970</t>
  </si>
  <si>
    <t>Client 975</t>
  </si>
  <si>
    <t>Client 974</t>
  </si>
  <si>
    <t>Client 976</t>
  </si>
  <si>
    <t>Client 973</t>
  </si>
  <si>
    <t>Client 972</t>
  </si>
  <si>
    <t>Insert title here</t>
  </si>
  <si>
    <t>Reps Hired</t>
  </si>
  <si>
    <t>Month</t>
  </si>
  <si>
    <t>Total</t>
  </si>
  <si>
    <t>Montly Contract Value</t>
  </si>
  <si>
    <t>Row Labels</t>
  </si>
  <si>
    <t>Grand Total</t>
  </si>
  <si>
    <t>Column Labels</t>
  </si>
  <si>
    <t>Manager Balance</t>
  </si>
  <si>
    <t>Key Assumptions</t>
  </si>
  <si>
    <t>Additional Considerations</t>
  </si>
  <si>
    <t>Reps Balance</t>
  </si>
  <si>
    <t>Managers Hired</t>
  </si>
  <si>
    <t>Revenue</t>
  </si>
  <si>
    <t>Costs:</t>
  </si>
  <si>
    <t>Revenue:</t>
  </si>
  <si>
    <t>Assumptions</t>
  </si>
  <si>
    <t>Actuals</t>
  </si>
  <si>
    <t>Forecast</t>
  </si>
  <si>
    <t>Revenue Assumptions:</t>
  </si>
  <si>
    <t>Expense Assumptions:</t>
  </si>
  <si>
    <t>Sales Rep Base Salary</t>
  </si>
  <si>
    <t>Average Commissions</t>
  </si>
  <si>
    <t>Manager Base Salary</t>
  </si>
  <si>
    <t>Desk per Employee (incl Indirect Cost)</t>
  </si>
  <si>
    <t>Travel per Sales Rep</t>
  </si>
  <si>
    <t>Travel per Sales Manager</t>
  </si>
  <si>
    <t>Indirect Costs</t>
  </si>
  <si>
    <t>HC:</t>
  </si>
  <si>
    <t>Count of Client</t>
  </si>
  <si>
    <t>Rent Base Cost (fixed)</t>
  </si>
  <si>
    <t># of New Clients</t>
  </si>
  <si>
    <t>graph - deal size by rep period over period</t>
  </si>
  <si>
    <t>% Change</t>
  </si>
  <si>
    <t>Total Sales Reps</t>
  </si>
  <si>
    <t>Sales Managers Hired</t>
  </si>
  <si>
    <t xml:space="preserve">Employees - Austin </t>
  </si>
  <si>
    <t>Austin Sales Office</t>
  </si>
  <si>
    <t>Information Provided</t>
  </si>
  <si>
    <t>Salaries and Commissions</t>
  </si>
  <si>
    <t>Rent</t>
  </si>
  <si>
    <t>Fixed portion (base cost)</t>
  </si>
  <si>
    <t>Total Employees (Reps and Managers)</t>
  </si>
  <si>
    <t>Travel Costs</t>
  </si>
  <si>
    <t>Expenses - SG&amp;A</t>
  </si>
  <si>
    <t>Total SG&amp;A</t>
  </si>
  <si>
    <t>Productivity</t>
  </si>
  <si>
    <t>Reps (3Mo+)</t>
  </si>
  <si>
    <t>New Reps (2Mo)</t>
  </si>
  <si>
    <t>Sales Reps Hired (1Mo)</t>
  </si>
  <si>
    <t>2020F &gt; &gt;</t>
  </si>
  <si>
    <t>2018A &gt; &gt;</t>
  </si>
  <si>
    <t>2019A &gt; &gt;</t>
  </si>
  <si>
    <t>2019F &gt; &gt;</t>
  </si>
  <si>
    <t>Imputed Productive Sales Reps (calculated)</t>
  </si>
  <si>
    <t>Total Sales Managers (Calc based on Total Sales Reps)</t>
  </si>
  <si>
    <t>1 Manager per 6 Reps</t>
  </si>
  <si>
    <t>Total at YE</t>
  </si>
  <si>
    <t>Smallest Deal</t>
  </si>
  <si>
    <t>Largest Deal</t>
  </si>
  <si>
    <t xml:space="preserve">Average Deal </t>
  </si>
  <si>
    <t xml:space="preserve">Deal Size </t>
  </si>
  <si>
    <t>Total Deals</t>
  </si>
  <si>
    <t>$ Value</t>
  </si>
  <si>
    <t>Average $ Value</t>
  </si>
  <si>
    <t>% of Total</t>
  </si>
  <si>
    <t>Small (&lt;5k)</t>
  </si>
  <si>
    <t>Medium (&lt;10k)</t>
  </si>
  <si>
    <t>Large (&lt;20k)</t>
  </si>
  <si>
    <t>Mega (20k+)</t>
  </si>
  <si>
    <t>Deal Size</t>
  </si>
  <si>
    <t>Subscription Month End</t>
  </si>
  <si>
    <t># of Deals</t>
  </si>
  <si>
    <t>Average</t>
  </si>
  <si>
    <t>graph - revenue growth vs cost %</t>
  </si>
  <si>
    <t># of Sales Reps</t>
  </si>
  <si>
    <t>Average # of Deals per Rep</t>
  </si>
  <si>
    <t>Average ACV by Rep</t>
  </si>
  <si>
    <t>Average Deal $ ACV per Client</t>
  </si>
  <si>
    <t>ACV</t>
  </si>
  <si>
    <t>Total # of Clients</t>
  </si>
  <si>
    <t># of New Clients per Rep</t>
  </si>
  <si>
    <t>Historical Average</t>
  </si>
  <si>
    <t>Average Revenue and Clients per Rep Analysis</t>
  </si>
  <si>
    <t>#</t>
  </si>
  <si>
    <t>Min</t>
  </si>
  <si>
    <t>Max</t>
  </si>
  <si>
    <t>ACV Contract (Months)</t>
  </si>
  <si>
    <t>Revenue Recognized for New Clients (Month of)</t>
  </si>
  <si>
    <t>Total Revenue Recognized in Month</t>
  </si>
  <si>
    <t>Total Revenue Recognized</t>
  </si>
  <si>
    <t>2020</t>
  </si>
  <si>
    <t>Desk rentals (variable)</t>
  </si>
  <si>
    <t>Travel Costs (Sales Rep) - Variable</t>
  </si>
  <si>
    <t>Travel Costs (Managers) - Variable</t>
  </si>
  <si>
    <t>Indirect Costs - Variable</t>
  </si>
  <si>
    <t>Total ACV</t>
  </si>
  <si>
    <t>Total Revenue Recognized (Month of)</t>
  </si>
  <si>
    <t xml:space="preserve">Revenue Recognized </t>
  </si>
  <si>
    <t>Expenses (SG&amp;A):</t>
  </si>
  <si>
    <t>Total Expenses</t>
  </si>
  <si>
    <t>Average # of New Clients per Month</t>
  </si>
  <si>
    <t>Average # of Sales Reps</t>
  </si>
  <si>
    <t>Average ACV per Sales Rep</t>
  </si>
  <si>
    <t>$ in actuals</t>
  </si>
  <si>
    <t>ATX Sales Facility Analysis</t>
  </si>
  <si>
    <t>2020F</t>
  </si>
  <si>
    <t>1. All employees are assumed hired at beginning of the month</t>
  </si>
  <si>
    <t>2. All historical sales people are 100% productive</t>
  </si>
  <si>
    <t>3. Historical data based on steady, regular business (average)</t>
  </si>
  <si>
    <t>4. # of Sales Reps are the drivers for revenue/ COGS</t>
  </si>
  <si>
    <t>Average ACV per New Client</t>
  </si>
  <si>
    <t>2. Potential to increase productivity via training (exp) or hiring seasoned sales reps</t>
  </si>
  <si>
    <t>3. Potential currency implications and market reach if team expands sales into other Regions (i.e. Mexico)</t>
  </si>
  <si>
    <t>1. Should emphasize larger clients (Medium, Large, Mega); could scale commission based on size of the client</t>
  </si>
  <si>
    <t>5. Commissions are 10% across the board (avg)</t>
  </si>
  <si>
    <t>1. Additional costs related to HR including benefits, 401k, healthcare etc are not included in this calculation and should be considered</t>
  </si>
  <si>
    <t>2. Cost of training sales reps</t>
  </si>
  <si>
    <t>4. Hiring experienced sales reps vs inexperienced</t>
  </si>
  <si>
    <t>3. Additional incentives to employees (yearly bonus for both Sales Reps and Managers)</t>
  </si>
  <si>
    <t>6. All hired sales reps stayed (no attrition)</t>
  </si>
  <si>
    <t>5. Attrition of sales reps</t>
  </si>
  <si>
    <t>6. Salary increases that would go into effect 2021F</t>
  </si>
  <si>
    <t>7. Tax assumptions (payroll, income taxes - state and federal)</t>
  </si>
  <si>
    <t>8. Severance costs for underperformance</t>
  </si>
  <si>
    <t xml:space="preserve">9. Timing of commission payments </t>
  </si>
  <si>
    <t>7/1/2018</t>
  </si>
  <si>
    <t>8/1/2018</t>
  </si>
  <si>
    <t>9/1/2018</t>
  </si>
  <si>
    <t>10/1/2018</t>
  </si>
  <si>
    <t>11/1/2018</t>
  </si>
  <si>
    <t>12/1/2018</t>
  </si>
  <si>
    <t>1/1/2019</t>
  </si>
  <si>
    <t>2/1/2019</t>
  </si>
  <si>
    <t>3/1/2019</t>
  </si>
  <si>
    <t>4/1/2019</t>
  </si>
  <si>
    <t>5/1/2019</t>
  </si>
  <si>
    <t>6/1/2019</t>
  </si>
  <si>
    <t>Total ACV/Rep</t>
  </si>
  <si>
    <t>ACV by Client Size</t>
  </si>
  <si>
    <t>Number of New Clients</t>
  </si>
  <si>
    <t>Total Clients</t>
  </si>
  <si>
    <t>Increased productivity (new clients)</t>
  </si>
  <si>
    <t>Average New Clients per Rep</t>
  </si>
  <si>
    <t>7. Customer size based on personal analysis of overall data</t>
  </si>
  <si>
    <t>LTM 
June 2019</t>
  </si>
  <si>
    <t>Observations:</t>
  </si>
  <si>
    <t>Obervations:</t>
  </si>
  <si>
    <t>There does not appear to be any seasonality of the business, when the # of sales reps is held constant</t>
  </si>
  <si>
    <t>8/1/2018 gap due to large # of "Small" clients</t>
  </si>
  <si>
    <t>Historical Graphs</t>
  </si>
  <si>
    <t>as % of ACV</t>
  </si>
  <si>
    <t>SG&amp;A as % of ACV</t>
  </si>
  <si>
    <t>Total ACV (20F)</t>
  </si>
  <si>
    <t>Total SG&amp;A (20F)</t>
  </si>
  <si>
    <t>Observations: Need to focus on increasing ACV (further emphasis on high $ clients)</t>
  </si>
  <si>
    <t>Travel Costs - Variable</t>
  </si>
  <si>
    <t>VC as % of Total</t>
  </si>
  <si>
    <t>Sales Rep Salaries - Variable</t>
  </si>
  <si>
    <t>Sales Manager Salaries - Variable</t>
  </si>
  <si>
    <t>Sales Rep Commission - Variable</t>
  </si>
  <si>
    <t>Need to increase sales mix vs. add sales reps which will only further increase costs</t>
  </si>
  <si>
    <t>Total ACV is highest when the sales mix is more evenly distributed or there are lower % of "Small" clients</t>
  </si>
  <si>
    <t>Overall, # of clients drives business</t>
  </si>
  <si>
    <t>Takeaways:</t>
  </si>
  <si>
    <t xml:space="preserve">Variable employee costs highlighted area for concern </t>
  </si>
  <si>
    <t>Efforts should be on maximizing high $ accounts (Large, Mega), evening out product mix (less Small) and maximizing # of clients/deals per rep</t>
  </si>
  <si>
    <t>Scenario 1</t>
  </si>
  <si>
    <t>Scenario 2</t>
  </si>
  <si>
    <t>Historical Average Rates</t>
  </si>
  <si>
    <t>S1</t>
  </si>
  <si>
    <t>Base</t>
  </si>
  <si>
    <t>S2</t>
  </si>
  <si>
    <t>Case</t>
  </si>
  <si>
    <t>Dynamic</t>
  </si>
  <si>
    <t>ACV1</t>
  </si>
  <si>
    <t>ACV2</t>
  </si>
  <si>
    <t>Historical Best Performance Sales Mix (3/1/2018) or Highest Average ACV (5/1)</t>
  </si>
  <si>
    <t>Total Average</t>
  </si>
  <si>
    <t>Changeable input (Base, Scenario 1, Scenario 2)</t>
  </si>
  <si>
    <t>8. Salaries needed to be parsed monthly but all other information is presented on a monthly basis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</si>
</sst>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_);_(@_)"/>
    <numFmt numFmtId="166" formatCode="_(* #,##0.0_);_(* \(#,##0.0\);_(* &quot;-&quot;??_);_(@_)"/>
    <numFmt numFmtId="167" formatCode="0.0%"/>
    <numFmt numFmtId="168" formatCode="0.0"/>
    <numFmt numFmtId="169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 style="mediumDashed">
        <color indexed="64"/>
      </right>
      <top/>
      <bottom/>
      <diagonal/>
    </border>
    <border>
      <left style="mediumDashed">
        <color indexed="64"/>
      </left>
      <right style="mediumDashed">
        <color indexed="64"/>
      </right>
      <top/>
      <bottom style="thin">
        <color indexed="64"/>
      </bottom>
      <diagonal/>
    </border>
    <border>
      <left style="mediumDashed">
        <color indexed="64"/>
      </left>
      <right style="mediumDashed">
        <color indexed="64"/>
      </right>
      <top/>
      <bottom style="mediumDashed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Alignment="0" applyProtection="0"/>
  </cellStyleXfs>
  <cellXfs count="246">
    <xf numFmtId="0" fontId="0" fillId="0" borderId="0" xfId="0"/>
    <xf numFmtId="14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0" xfId="0" applyNumberFormat="1"/>
    <xf numFmtId="43" fontId="0" fillId="0" borderId="0" xfId="0" applyNumberFormat="1"/>
    <xf numFmtId="165" fontId="0" fillId="0" borderId="0" xfId="0" applyNumberFormat="1"/>
    <xf numFmtId="0" fontId="1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3" fillId="0" borderId="0" xfId="4"/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1" fillId="0" borderId="0" xfId="0" applyNumberFormat="1" applyFont="1" applyAlignment="1">
      <alignment horizontal="right" vertical="center"/>
    </xf>
    <xf numFmtId="0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0" fontId="0" fillId="0" borderId="0" xfId="0" applyFont="1"/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14" fontId="0" fillId="0" borderId="0" xfId="0" applyNumberFormat="1"/>
    <xf numFmtId="0" fontId="0" fillId="0" borderId="0" xfId="0"/>
    <xf numFmtId="14" fontId="0" fillId="0" borderId="1" xfId="0" applyNumberFormat="1" applyBorder="1" applyAlignment="1">
      <alignment horizontal="left"/>
    </xf>
    <xf numFmtId="0" fontId="0" fillId="2" borderId="0" xfId="0" applyFill="1"/>
    <xf numFmtId="14" fontId="1" fillId="3" borderId="2" xfId="0" applyNumberFormat="1" applyFont="1" applyFill="1" applyBorder="1"/>
    <xf numFmtId="0" fontId="0" fillId="4" borderId="0" xfId="0" applyFill="1"/>
    <xf numFmtId="14" fontId="1" fillId="5" borderId="2" xfId="0" applyNumberFormat="1" applyFont="1" applyFill="1" applyBorder="1"/>
    <xf numFmtId="0" fontId="5" fillId="0" borderId="0" xfId="0" applyFont="1"/>
    <xf numFmtId="0" fontId="4" fillId="6" borderId="0" xfId="0" applyFont="1" applyFill="1"/>
    <xf numFmtId="9" fontId="0" fillId="0" borderId="0" xfId="3" applyFont="1"/>
    <xf numFmtId="9" fontId="5" fillId="0" borderId="0" xfId="3" applyFont="1"/>
    <xf numFmtId="0" fontId="0" fillId="7" borderId="0" xfId="0" applyFill="1"/>
    <xf numFmtId="0" fontId="5" fillId="7" borderId="0" xfId="0" applyFont="1" applyFill="1"/>
    <xf numFmtId="0" fontId="4" fillId="0" borderId="0" xfId="0" applyFont="1" applyFill="1"/>
    <xf numFmtId="0" fontId="0" fillId="0" borderId="0" xfId="0" applyFill="1"/>
    <xf numFmtId="0" fontId="6" fillId="0" borderId="0" xfId="0" applyFont="1"/>
    <xf numFmtId="164" fontId="1" fillId="8" borderId="0" xfId="0" applyNumberFormat="1" applyFont="1" applyFill="1" applyAlignment="1">
      <alignment horizontal="left" vertical="center"/>
    </xf>
    <xf numFmtId="0" fontId="0" fillId="9" borderId="0" xfId="0" applyFill="1"/>
    <xf numFmtId="3" fontId="0" fillId="9" borderId="0" xfId="0" applyNumberFormat="1" applyFill="1"/>
    <xf numFmtId="9" fontId="0" fillId="9" borderId="0" xfId="0" applyNumberFormat="1" applyFill="1"/>
    <xf numFmtId="43" fontId="0" fillId="0" borderId="0" xfId="1" applyFont="1"/>
    <xf numFmtId="164" fontId="0" fillId="0" borderId="0" xfId="1" applyNumberFormat="1" applyFont="1"/>
    <xf numFmtId="164" fontId="0" fillId="0" borderId="1" xfId="1" applyNumberFormat="1" applyFont="1" applyBorder="1"/>
    <xf numFmtId="164" fontId="1" fillId="0" borderId="0" xfId="1" applyNumberFormat="1" applyFont="1"/>
    <xf numFmtId="166" fontId="1" fillId="0" borderId="0" xfId="1" applyNumberFormat="1" applyFont="1"/>
    <xf numFmtId="0" fontId="0" fillId="9" borderId="1" xfId="0" applyFill="1" applyBorder="1"/>
    <xf numFmtId="0" fontId="1" fillId="9" borderId="0" xfId="0" applyFont="1" applyFill="1"/>
    <xf numFmtId="0" fontId="0" fillId="0" borderId="0" xfId="0"/>
    <xf numFmtId="9" fontId="0" fillId="7" borderId="0" xfId="0" applyNumberFormat="1" applyFill="1"/>
    <xf numFmtId="164" fontId="5" fillId="0" borderId="0" xfId="1" applyNumberFormat="1" applyFont="1"/>
    <xf numFmtId="0" fontId="1" fillId="0" borderId="1" xfId="0" applyFont="1" applyBorder="1"/>
    <xf numFmtId="0" fontId="1" fillId="9" borderId="1" xfId="0" applyFont="1" applyFill="1" applyBorder="1"/>
    <xf numFmtId="0" fontId="3" fillId="9" borderId="0" xfId="4" applyFill="1"/>
    <xf numFmtId="167" fontId="0" fillId="0" borderId="0" xfId="3" applyNumberFormat="1" applyFont="1"/>
    <xf numFmtId="0" fontId="0" fillId="0" borderId="1" xfId="0" applyBorder="1" applyAlignment="1">
      <alignment horizontal="right" wrapText="1"/>
    </xf>
    <xf numFmtId="0" fontId="0" fillId="0" borderId="0" xfId="0" applyBorder="1"/>
    <xf numFmtId="43" fontId="0" fillId="0" borderId="0" xfId="1" applyFont="1" applyBorder="1"/>
    <xf numFmtId="43" fontId="0" fillId="0" borderId="0" xfId="0" applyNumberFormat="1" applyBorder="1"/>
    <xf numFmtId="167" fontId="0" fillId="0" borderId="0" xfId="3" applyNumberFormat="1" applyFont="1" applyBorder="1"/>
    <xf numFmtId="43" fontId="0" fillId="0" borderId="1" xfId="1" applyFont="1" applyBorder="1"/>
    <xf numFmtId="43" fontId="0" fillId="0" borderId="1" xfId="0" applyNumberFormat="1" applyBorder="1"/>
    <xf numFmtId="167" fontId="0" fillId="0" borderId="1" xfId="3" applyNumberFormat="1" applyFont="1" applyBorder="1"/>
    <xf numFmtId="0" fontId="3" fillId="0" borderId="0" xfId="4" applyFill="1"/>
    <xf numFmtId="9" fontId="0" fillId="0" borderId="0" xfId="0" applyNumberFormat="1" applyFill="1"/>
    <xf numFmtId="0" fontId="0" fillId="0" borderId="1" xfId="0" applyBorder="1" applyAlignment="1">
      <alignment wrapText="1"/>
    </xf>
    <xf numFmtId="0" fontId="0" fillId="0" borderId="0" xfId="0"/>
    <xf numFmtId="164" fontId="5" fillId="0" borderId="0" xfId="1" applyNumberFormat="1" applyFont="1" applyAlignment="1">
      <alignment horizontal="left" indent="5"/>
    </xf>
    <xf numFmtId="0" fontId="6" fillId="0" borderId="0" xfId="0" applyFont="1" applyAlignment="1">
      <alignment horizontal="right"/>
    </xf>
    <xf numFmtId="43" fontId="1" fillId="0" borderId="0" xfId="0" applyNumberFormat="1" applyFont="1"/>
    <xf numFmtId="0" fontId="1" fillId="0" borderId="0" xfId="0" applyFont="1" applyBorder="1"/>
    <xf numFmtId="0" fontId="0" fillId="0" borderId="1" xfId="0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10" borderId="0" xfId="0" applyFont="1" applyFill="1"/>
    <xf numFmtId="0" fontId="0" fillId="10" borderId="0" xfId="0" applyFill="1"/>
    <xf numFmtId="43" fontId="0" fillId="10" borderId="0" xfId="0" applyNumberFormat="1" applyFill="1"/>
    <xf numFmtId="164" fontId="0" fillId="10" borderId="0" xfId="1" applyNumberFormat="1" applyFont="1" applyFill="1"/>
    <xf numFmtId="164" fontId="0" fillId="0" borderId="1" xfId="0" applyNumberFormat="1" applyBorder="1"/>
    <xf numFmtId="164" fontId="0" fillId="10" borderId="0" xfId="0" applyNumberFormat="1" applyFill="1"/>
    <xf numFmtId="0" fontId="0" fillId="10" borderId="1" xfId="0" applyFill="1" applyBorder="1"/>
    <xf numFmtId="43" fontId="0" fillId="10" borderId="1" xfId="0" applyNumberFormat="1" applyFill="1" applyBorder="1"/>
    <xf numFmtId="164" fontId="0" fillId="10" borderId="1" xfId="1" applyNumberFormat="1" applyFont="1" applyFill="1" applyBorder="1"/>
    <xf numFmtId="164" fontId="2" fillId="0" borderId="0" xfId="1" applyNumberFormat="1" applyFont="1"/>
    <xf numFmtId="164" fontId="5" fillId="0" borderId="0" xfId="0" applyNumberFormat="1" applyFont="1"/>
    <xf numFmtId="164" fontId="0" fillId="0" borderId="0" xfId="0" applyNumberFormat="1" applyFont="1"/>
    <xf numFmtId="0" fontId="5" fillId="0" borderId="1" xfId="0" applyFont="1" applyBorder="1"/>
    <xf numFmtId="164" fontId="2" fillId="0" borderId="1" xfId="1" applyNumberFormat="1" applyFont="1" applyBorder="1"/>
    <xf numFmtId="43" fontId="5" fillId="0" borderId="0" xfId="0" applyNumberFormat="1" applyFont="1"/>
    <xf numFmtId="0" fontId="1" fillId="0" borderId="0" xfId="0" applyFont="1" applyFill="1"/>
    <xf numFmtId="0" fontId="0" fillId="0" borderId="0" xfId="0" applyFont="1" applyFill="1"/>
    <xf numFmtId="164" fontId="1" fillId="0" borderId="0" xfId="0" applyNumberFormat="1" applyFont="1" applyFill="1"/>
    <xf numFmtId="43" fontId="0" fillId="0" borderId="0" xfId="0" applyNumberFormat="1" applyFont="1" applyFill="1"/>
    <xf numFmtId="164" fontId="0" fillId="0" borderId="0" xfId="0" applyNumberFormat="1" applyFont="1" applyFill="1"/>
    <xf numFmtId="0" fontId="0" fillId="0" borderId="1" xfId="0" applyFont="1" applyFill="1" applyBorder="1"/>
    <xf numFmtId="9" fontId="6" fillId="0" borderId="0" xfId="3" applyFont="1" applyFill="1"/>
    <xf numFmtId="0" fontId="6" fillId="0" borderId="0" xfId="0" applyFont="1" applyFill="1"/>
    <xf numFmtId="164" fontId="6" fillId="0" borderId="0" xfId="1" applyNumberFormat="1" applyFont="1" applyFill="1"/>
    <xf numFmtId="164" fontId="6" fillId="0" borderId="0" xfId="1" applyNumberFormat="1" applyFont="1"/>
    <xf numFmtId="2" fontId="0" fillId="0" borderId="0" xfId="1" applyNumberFormat="1" applyFont="1" applyBorder="1"/>
    <xf numFmtId="2" fontId="0" fillId="0" borderId="1" xfId="1" applyNumberFormat="1" applyFont="1" applyBorder="1"/>
    <xf numFmtId="2" fontId="0" fillId="0" borderId="0" xfId="0" applyNumberFormat="1"/>
    <xf numFmtId="0" fontId="0" fillId="4" borderId="4" xfId="0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0" xfId="0" applyFill="1" applyBorder="1"/>
    <xf numFmtId="0" fontId="0" fillId="4" borderId="8" xfId="0" applyFill="1" applyBorder="1"/>
    <xf numFmtId="14" fontId="1" fillId="5" borderId="9" xfId="0" applyNumberFormat="1" applyFont="1" applyFill="1" applyBorder="1"/>
    <xf numFmtId="14" fontId="1" fillId="5" borderId="10" xfId="0" applyNumberFormat="1" applyFont="1" applyFill="1" applyBorder="1"/>
    <xf numFmtId="14" fontId="1" fillId="5" borderId="11" xfId="0" applyNumberFormat="1" applyFont="1" applyFill="1" applyBorder="1"/>
    <xf numFmtId="0" fontId="1" fillId="0" borderId="0" xfId="0" applyFont="1" applyBorder="1" applyAlignment="1">
      <alignment horizontal="right"/>
    </xf>
    <xf numFmtId="0" fontId="1" fillId="11" borderId="12" xfId="0" applyFont="1" applyFill="1" applyBorder="1" applyAlignment="1">
      <alignment horizontal="left"/>
    </xf>
    <xf numFmtId="0" fontId="1" fillId="11" borderId="13" xfId="0" applyFont="1" applyFill="1" applyBorder="1" applyAlignment="1">
      <alignment horizontal="right"/>
    </xf>
    <xf numFmtId="0" fontId="1" fillId="11" borderId="14" xfId="0" applyFont="1" applyFill="1" applyBorder="1" applyAlignment="1">
      <alignment horizontal="right" wrapText="1"/>
    </xf>
    <xf numFmtId="0" fontId="0" fillId="0" borderId="0" xfId="0" applyFill="1" applyBorder="1"/>
    <xf numFmtId="0" fontId="0" fillId="0" borderId="15" xfId="0" applyBorder="1" applyAlignment="1">
      <alignment horizontal="right"/>
    </xf>
    <xf numFmtId="0" fontId="0" fillId="0" borderId="16" xfId="0" applyBorder="1" applyAlignment="1">
      <alignment horizontal="right"/>
    </xf>
    <xf numFmtId="167" fontId="0" fillId="0" borderId="7" xfId="3" applyNumberFormat="1" applyFont="1" applyBorder="1"/>
    <xf numFmtId="167" fontId="0" fillId="0" borderId="8" xfId="3" applyNumberFormat="1" applyFont="1" applyBorder="1"/>
    <xf numFmtId="167" fontId="0" fillId="0" borderId="9" xfId="3" applyNumberFormat="1" applyFont="1" applyBorder="1"/>
    <xf numFmtId="167" fontId="0" fillId="0" borderId="11" xfId="3" applyNumberFormat="1" applyFont="1" applyBorder="1"/>
    <xf numFmtId="164" fontId="5" fillId="0" borderId="1" xfId="0" applyNumberFormat="1" applyFont="1" applyBorder="1"/>
    <xf numFmtId="0" fontId="0" fillId="0" borderId="1" xfId="0" applyFill="1" applyBorder="1"/>
    <xf numFmtId="164" fontId="0" fillId="0" borderId="0" xfId="1" applyNumberFormat="1" applyFont="1" applyFill="1"/>
    <xf numFmtId="164" fontId="0" fillId="0" borderId="1" xfId="1" applyNumberFormat="1" applyFont="1" applyFill="1" applyBorder="1"/>
    <xf numFmtId="9" fontId="0" fillId="12" borderId="0" xfId="0" applyNumberFormat="1" applyFill="1"/>
    <xf numFmtId="9" fontId="0" fillId="12" borderId="1" xfId="0" applyNumberFormat="1" applyFill="1" applyBorder="1"/>
    <xf numFmtId="3" fontId="0" fillId="12" borderId="0" xfId="0" applyNumberFormat="1" applyFill="1"/>
    <xf numFmtId="0" fontId="0" fillId="12" borderId="0" xfId="0" applyFill="1"/>
    <xf numFmtId="0" fontId="0" fillId="0" borderId="1" xfId="0" applyFont="1" applyBorder="1"/>
    <xf numFmtId="0" fontId="0" fillId="0" borderId="0" xfId="0" applyFont="1" applyFill="1" applyBorder="1"/>
    <xf numFmtId="164" fontId="0" fillId="0" borderId="1" xfId="0" applyNumberFormat="1" applyFont="1" applyBorder="1"/>
    <xf numFmtId="0" fontId="1" fillId="0" borderId="0" xfId="0" applyFont="1" applyFill="1" applyBorder="1"/>
    <xf numFmtId="14" fontId="1" fillId="5" borderId="11" xfId="0" quotePrefix="1" applyNumberFormat="1" applyFont="1" applyFill="1" applyBorder="1" applyAlignment="1">
      <alignment horizontal="center"/>
    </xf>
    <xf numFmtId="0" fontId="1" fillId="2" borderId="17" xfId="0" applyFont="1" applyFill="1" applyBorder="1"/>
    <xf numFmtId="0" fontId="1" fillId="2" borderId="18" xfId="0" applyFont="1" applyFill="1" applyBorder="1"/>
    <xf numFmtId="164" fontId="1" fillId="2" borderId="18" xfId="0" applyNumberFormat="1" applyFont="1" applyFill="1" applyBorder="1"/>
    <xf numFmtId="164" fontId="1" fillId="2" borderId="19" xfId="0" applyNumberFormat="1" applyFont="1" applyFill="1" applyBorder="1"/>
    <xf numFmtId="164" fontId="1" fillId="2" borderId="19" xfId="1" applyNumberFormat="1" applyFont="1" applyFill="1" applyBorder="1"/>
    <xf numFmtId="164" fontId="0" fillId="0" borderId="0" xfId="0" applyNumberFormat="1" applyFont="1" applyFill="1" applyBorder="1"/>
    <xf numFmtId="164" fontId="0" fillId="0" borderId="0" xfId="1" applyNumberFormat="1" applyFont="1" applyFill="1" applyBorder="1"/>
    <xf numFmtId="164" fontId="1" fillId="2" borderId="18" xfId="1" applyNumberFormat="1" applyFont="1" applyFill="1" applyBorder="1"/>
    <xf numFmtId="0" fontId="0" fillId="7" borderId="1" xfId="0" applyFill="1" applyBorder="1"/>
    <xf numFmtId="164" fontId="6" fillId="7" borderId="0" xfId="1" applyNumberFormat="1" applyFont="1" applyFill="1"/>
    <xf numFmtId="3" fontId="0" fillId="7" borderId="0" xfId="0" applyNumberFormat="1" applyFill="1"/>
    <xf numFmtId="164" fontId="5" fillId="7" borderId="0" xfId="0" applyNumberFormat="1" applyFont="1" applyFill="1"/>
    <xf numFmtId="164" fontId="5" fillId="7" borderId="1" xfId="0" applyNumberFormat="1" applyFont="1" applyFill="1" applyBorder="1"/>
    <xf numFmtId="164" fontId="0" fillId="7" borderId="0" xfId="1" applyNumberFormat="1" applyFont="1" applyFill="1" applyBorder="1"/>
    <xf numFmtId="164" fontId="1" fillId="7" borderId="0" xfId="1" applyNumberFormat="1" applyFont="1" applyFill="1" applyBorder="1"/>
    <xf numFmtId="0" fontId="0" fillId="7" borderId="0" xfId="0" applyFill="1" applyBorder="1"/>
    <xf numFmtId="164" fontId="1" fillId="7" borderId="0" xfId="0" applyNumberFormat="1" applyFont="1" applyFill="1" applyBorder="1"/>
    <xf numFmtId="0" fontId="5" fillId="7" borderId="0" xfId="0" applyFont="1" applyFill="1" applyBorder="1"/>
    <xf numFmtId="9" fontId="5" fillId="7" borderId="0" xfId="3" applyFont="1" applyFill="1" applyBorder="1"/>
    <xf numFmtId="3" fontId="0" fillId="7" borderId="0" xfId="0" applyNumberFormat="1" applyFill="1" applyBorder="1"/>
    <xf numFmtId="9" fontId="0" fillId="7" borderId="0" xfId="0" applyNumberFormat="1" applyFill="1" applyBorder="1"/>
    <xf numFmtId="0" fontId="6" fillId="7" borderId="0" xfId="0" applyFont="1" applyFill="1" applyBorder="1"/>
    <xf numFmtId="0" fontId="4" fillId="7" borderId="0" xfId="0" applyFont="1" applyFill="1" applyBorder="1"/>
    <xf numFmtId="0" fontId="1" fillId="7" borderId="0" xfId="0" applyFont="1" applyFill="1" applyBorder="1"/>
    <xf numFmtId="0" fontId="0" fillId="7" borderId="0" xfId="0" applyFont="1" applyFill="1" applyBorder="1"/>
    <xf numFmtId="14" fontId="1" fillId="0" borderId="0" xfId="0" applyNumberFormat="1" applyFont="1" applyFill="1" applyBorder="1"/>
    <xf numFmtId="0" fontId="5" fillId="0" borderId="0" xfId="0" applyFont="1" applyFill="1" applyBorder="1"/>
    <xf numFmtId="3" fontId="0" fillId="0" borderId="0" xfId="0" applyNumberFormat="1" applyFill="1" applyBorder="1"/>
    <xf numFmtId="9" fontId="0" fillId="0" borderId="0" xfId="0" applyNumberFormat="1" applyFill="1" applyBorder="1"/>
    <xf numFmtId="0" fontId="6" fillId="0" borderId="0" xfId="0" applyFont="1" applyFill="1" applyBorder="1"/>
    <xf numFmtId="0" fontId="4" fillId="0" borderId="0" xfId="0" applyFont="1" applyFill="1" applyBorder="1"/>
    <xf numFmtId="164" fontId="1" fillId="0" borderId="0" xfId="1" applyNumberFormat="1" applyFont="1" applyFill="1" applyBorder="1"/>
    <xf numFmtId="164" fontId="1" fillId="0" borderId="0" xfId="0" applyNumberFormat="1" applyFont="1" applyFill="1" applyBorder="1"/>
    <xf numFmtId="43" fontId="0" fillId="0" borderId="1" xfId="1" applyNumberFormat="1" applyFont="1" applyFill="1" applyBorder="1"/>
    <xf numFmtId="0" fontId="7" fillId="0" borderId="0" xfId="4" applyFont="1"/>
    <xf numFmtId="164" fontId="5" fillId="12" borderId="0" xfId="0" applyNumberFormat="1" applyFont="1" applyFill="1" applyAlignment="1">
      <alignment horizontal="right"/>
    </xf>
    <xf numFmtId="164" fontId="5" fillId="12" borderId="1" xfId="0" applyNumberFormat="1" applyFont="1" applyFill="1" applyBorder="1" applyAlignment="1">
      <alignment horizontal="right"/>
    </xf>
    <xf numFmtId="0" fontId="3" fillId="0" borderId="4" xfId="4" applyBorder="1"/>
    <xf numFmtId="0" fontId="0" fillId="0" borderId="6" xfId="0" applyBorder="1"/>
    <xf numFmtId="0" fontId="1" fillId="0" borderId="20" xfId="0" applyFont="1" applyBorder="1"/>
    <xf numFmtId="0" fontId="1" fillId="11" borderId="21" xfId="0" quotePrefix="1" applyFont="1" applyFill="1" applyBorder="1" applyAlignment="1">
      <alignment horizontal="right"/>
    </xf>
    <xf numFmtId="0" fontId="1" fillId="0" borderId="7" xfId="0" applyFont="1" applyBorder="1"/>
    <xf numFmtId="0" fontId="0" fillId="0" borderId="8" xfId="0" quotePrefix="1" applyBorder="1"/>
    <xf numFmtId="169" fontId="1" fillId="0" borderId="8" xfId="2" applyNumberFormat="1" applyFont="1" applyBorder="1"/>
    <xf numFmtId="0" fontId="0" fillId="0" borderId="7" xfId="0" applyBorder="1"/>
    <xf numFmtId="164" fontId="0" fillId="0" borderId="8" xfId="1" applyNumberFormat="1" applyFont="1" applyBorder="1"/>
    <xf numFmtId="0" fontId="0" fillId="0" borderId="20" xfId="0" applyBorder="1"/>
    <xf numFmtId="164" fontId="0" fillId="0" borderId="21" xfId="1" applyNumberFormat="1" applyFont="1" applyBorder="1"/>
    <xf numFmtId="164" fontId="1" fillId="0" borderId="8" xfId="0" applyNumberFormat="1" applyFont="1" applyBorder="1"/>
    <xf numFmtId="0" fontId="0" fillId="0" borderId="8" xfId="0" applyBorder="1"/>
    <xf numFmtId="0" fontId="8" fillId="0" borderId="7" xfId="0" applyFont="1" applyBorder="1"/>
    <xf numFmtId="164" fontId="8" fillId="0" borderId="8" xfId="1" applyNumberFormat="1" applyFont="1" applyBorder="1"/>
    <xf numFmtId="0" fontId="8" fillId="0" borderId="8" xfId="0" applyFont="1" applyBorder="1"/>
    <xf numFmtId="0" fontId="8" fillId="0" borderId="9" xfId="0" applyFont="1" applyBorder="1"/>
    <xf numFmtId="9" fontId="5" fillId="0" borderId="0" xfId="3" applyFont="1" applyAlignment="1">
      <alignment horizontal="left" indent="5"/>
    </xf>
    <xf numFmtId="9" fontId="5" fillId="0" borderId="0" xfId="3" applyFont="1" applyAlignment="1">
      <alignment horizontal="right"/>
    </xf>
    <xf numFmtId="0" fontId="1" fillId="11" borderId="3" xfId="0" applyFont="1" applyFill="1" applyBorder="1" applyAlignment="1">
      <alignment horizontal="center" wrapText="1"/>
    </xf>
    <xf numFmtId="43" fontId="0" fillId="0" borderId="0" xfId="0" applyNumberFormat="1" applyFill="1"/>
    <xf numFmtId="164" fontId="2" fillId="0" borderId="0" xfId="1" applyNumberFormat="1" applyFont="1" applyBorder="1"/>
    <xf numFmtId="0" fontId="1" fillId="2" borderId="0" xfId="0" applyFont="1" applyFill="1" applyBorder="1"/>
    <xf numFmtId="9" fontId="6" fillId="0" borderId="0" xfId="0" applyNumberFormat="1" applyFont="1" applyAlignment="1">
      <alignment horizontal="right"/>
    </xf>
    <xf numFmtId="9" fontId="0" fillId="12" borderId="0" xfId="3" applyFont="1" applyFill="1"/>
    <xf numFmtId="0" fontId="0" fillId="0" borderId="7" xfId="0" applyFont="1" applyBorder="1"/>
    <xf numFmtId="9" fontId="2" fillId="0" borderId="8" xfId="3" applyFont="1" applyBorder="1"/>
    <xf numFmtId="0" fontId="0" fillId="0" borderId="22" xfId="0" applyBorder="1"/>
    <xf numFmtId="14" fontId="1" fillId="3" borderId="2" xfId="0" applyNumberFormat="1" applyFont="1" applyFill="1" applyBorder="1" applyAlignment="1">
      <alignment horizontal="right" wrapText="1"/>
    </xf>
    <xf numFmtId="2" fontId="0" fillId="0" borderId="0" xfId="1" applyNumberFormat="1" applyFont="1" applyFill="1" applyBorder="1"/>
    <xf numFmtId="44" fontId="0" fillId="0" borderId="0" xfId="0" applyNumberFormat="1"/>
    <xf numFmtId="44" fontId="8" fillId="0" borderId="11" xfId="2" applyNumberFormat="1" applyFont="1" applyBorder="1"/>
    <xf numFmtId="0" fontId="0" fillId="0" borderId="0" xfId="0" applyFill="1" applyBorder="1" applyAlignment="1">
      <alignment horizontal="right"/>
    </xf>
    <xf numFmtId="0" fontId="1" fillId="0" borderId="27" xfId="0" applyFont="1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1" fillId="0" borderId="0" xfId="0" applyFont="1" applyAlignment="1">
      <alignment horizontal="right"/>
    </xf>
    <xf numFmtId="0" fontId="0" fillId="0" borderId="0" xfId="0"/>
    <xf numFmtId="43" fontId="5" fillId="0" borderId="0" xfId="0" applyNumberFormat="1" applyFont="1" applyFill="1" applyAlignment="1">
      <alignment horizontal="right"/>
    </xf>
    <xf numFmtId="0" fontId="0" fillId="0" borderId="12" xfId="0" applyFont="1" applyBorder="1" applyAlignment="1">
      <alignment horizontal="left"/>
    </xf>
    <xf numFmtId="0" fontId="1" fillId="0" borderId="4" xfId="0" applyFont="1" applyBorder="1"/>
    <xf numFmtId="0" fontId="1" fillId="0" borderId="5" xfId="0" applyFont="1" applyBorder="1"/>
    <xf numFmtId="0" fontId="5" fillId="0" borderId="7" xfId="0" applyFont="1" applyFill="1" applyBorder="1"/>
    <xf numFmtId="43" fontId="5" fillId="0" borderId="0" xfId="0" applyNumberFormat="1" applyFont="1" applyFill="1" applyBorder="1" applyAlignment="1">
      <alignment horizontal="right"/>
    </xf>
    <xf numFmtId="43" fontId="0" fillId="0" borderId="0" xfId="0" applyNumberFormat="1" applyFill="1" applyBorder="1"/>
    <xf numFmtId="0" fontId="5" fillId="0" borderId="9" xfId="0" applyFont="1" applyFill="1" applyBorder="1"/>
    <xf numFmtId="43" fontId="5" fillId="0" borderId="10" xfId="0" applyNumberFormat="1" applyFont="1" applyFill="1" applyBorder="1" applyAlignment="1">
      <alignment horizontal="right"/>
    </xf>
    <xf numFmtId="43" fontId="0" fillId="0" borderId="10" xfId="0" applyNumberFormat="1" applyFill="1" applyBorder="1"/>
    <xf numFmtId="0" fontId="0" fillId="0" borderId="13" xfId="0" applyFont="1" applyBorder="1" applyAlignment="1">
      <alignment horizontal="left"/>
    </xf>
    <xf numFmtId="0" fontId="1" fillId="12" borderId="6" xfId="0" applyFont="1" applyFill="1" applyBorder="1" applyAlignment="1">
      <alignment horizontal="right"/>
    </xf>
    <xf numFmtId="168" fontId="0" fillId="12" borderId="8" xfId="0" applyNumberFormat="1" applyFill="1" applyBorder="1"/>
    <xf numFmtId="168" fontId="0" fillId="12" borderId="11" xfId="0" applyNumberFormat="1" applyFill="1" applyBorder="1"/>
    <xf numFmtId="0" fontId="1" fillId="0" borderId="5" xfId="0" applyFont="1" applyFill="1" applyBorder="1"/>
    <xf numFmtId="164" fontId="5" fillId="0" borderId="0" xfId="0" applyNumberFormat="1" applyFont="1" applyFill="1" applyAlignment="1">
      <alignment horizontal="right"/>
    </xf>
    <xf numFmtId="164" fontId="5" fillId="0" borderId="1" xfId="0" applyNumberFormat="1" applyFont="1" applyFill="1" applyBorder="1" applyAlignment="1">
      <alignment horizontal="right"/>
    </xf>
    <xf numFmtId="164" fontId="5" fillId="0" borderId="21" xfId="0" applyNumberFormat="1" applyFont="1" applyFill="1" applyBorder="1" applyAlignment="1">
      <alignment horizontal="right"/>
    </xf>
    <xf numFmtId="0" fontId="5" fillId="0" borderId="20" xfId="0" applyFont="1" applyFill="1" applyBorder="1"/>
    <xf numFmtId="14" fontId="0" fillId="0" borderId="13" xfId="0" applyNumberFormat="1" applyFont="1" applyBorder="1" applyAlignment="1">
      <alignment horizontal="left"/>
    </xf>
    <xf numFmtId="164" fontId="0" fillId="10" borderId="24" xfId="0" applyNumberFormat="1" applyFill="1" applyBorder="1"/>
    <xf numFmtId="164" fontId="0" fillId="10" borderId="26" xfId="0" applyNumberFormat="1" applyFill="1" applyBorder="1"/>
    <xf numFmtId="164" fontId="1" fillId="0" borderId="0" xfId="0" applyNumberFormat="1" applyFont="1" applyAlignment="1">
      <alignment horizontal="center"/>
    </xf>
    <xf numFmtId="164" fontId="1" fillId="10" borderId="23" xfId="0" applyNumberFormat="1" applyFont="1" applyFill="1" applyBorder="1" applyAlignment="1">
      <alignment horizontal="center"/>
    </xf>
    <xf numFmtId="43" fontId="0" fillId="10" borderId="24" xfId="0" applyNumberFormat="1" applyFill="1" applyBorder="1"/>
    <xf numFmtId="43" fontId="0" fillId="10" borderId="25" xfId="0" applyNumberFormat="1" applyFill="1" applyBorder="1"/>
    <xf numFmtId="43" fontId="0" fillId="10" borderId="26" xfId="0" applyNumberFormat="1" applyFill="1" applyBorder="1"/>
    <xf numFmtId="0" fontId="1" fillId="10" borderId="23" xfId="0" applyFont="1" applyFill="1" applyBorder="1" applyAlignment="1">
      <alignment horizontal="center"/>
    </xf>
    <xf numFmtId="0" fontId="0" fillId="12" borderId="14" xfId="0" applyFill="1" applyBorder="1" applyAlignment="1">
      <alignment horizontal="right"/>
    </xf>
    <xf numFmtId="0" fontId="0" fillId="11" borderId="12" xfId="0" applyFill="1" applyBorder="1" applyAlignment="1">
      <alignment horizontal="center"/>
    </xf>
    <xf numFmtId="0" fontId="0" fillId="11" borderId="14" xfId="0" applyFill="1" applyBorder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Percent" xfId="3" builtinId="5"/>
    <cellStyle name="Smart Title" xfId="4" xr:uid="{A1095BF0-A0B9-475C-AFC2-77FB0E2C6E86}"/>
  </cellStyles>
  <dxfs count="11">
    <dxf>
      <numFmt numFmtId="35" formatCode="_(* #,##0.00_);_(* \(#,##0.00\);_(* &quot;-&quot;??_);_(@_)"/>
      <alignment horizontal="right" vertical="bottom" textRotation="0" wrapText="0" indent="0" justifyLastLine="0" shrinkToFit="0" readingOrder="0"/>
    </dxf>
    <dxf>
      <alignment horizontal="right" textRotation="0" wrapText="0" indent="0" justifyLastLine="0" shrinkToFit="0" readingOrder="0"/>
    </dxf>
    <dxf>
      <numFmt numFmtId="170" formatCode="m/d/yyyy"/>
      <alignment horizontal="right" vertical="bottom" textRotation="0" wrapText="0" indent="0" justifyLastLine="0" shrinkToFit="0" readingOrder="0"/>
    </dxf>
    <dxf>
      <numFmt numFmtId="170" formatCode="m/d/yyyy"/>
      <alignment horizontal="right" vertical="bottom" textRotation="0" wrapText="0" indent="0" justifyLastLine="0" shrinkToFit="0" readingOrder="0"/>
    </dxf>
    <dxf>
      <numFmt numFmtId="164" formatCode="_(* #,##0_);_(* \(#,##0\);_(* &quot;-&quot;??_);_(@_)"/>
      <alignment horizontal="right" vertical="bottom" textRotation="0" wrapText="0" indent="0" justifyLastLine="0" shrinkToFit="0" readingOrder="0"/>
    </dxf>
    <dxf>
      <numFmt numFmtId="164" formatCode="_(* #,##0_);_(* \(#,##0\);_(* &quot;-&quot;??_);_(@_)"/>
      <alignment horizontal="right" vertical="bottom" textRotation="0" wrapText="0" indent="0" justifyLastLine="0" shrinkToFit="0" readingOrder="0"/>
    </dxf>
    <dxf>
      <numFmt numFmtId="30" formatCode="@"/>
      <alignment horizontal="right" vertical="bottom" textRotation="0" wrapText="0" indent="0" justifyLastLine="0" shrinkToFit="0" readingOrder="0"/>
    </dxf>
    <dxf>
      <numFmt numFmtId="0" formatCode="General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numFmt numFmtId="35" formatCode="_(* #,##0.00_);_(* \(#,##0.00\);_(* &quot;-&quot;??_);_(@_)"/>
    </dxf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olapFunctions">
    <main first="ThisWorkbookDataModel">
      <tp t="e">
        <v>#N/A</v>
        <stp>1</stp>
        <tr r="E502" s="9"/>
        <tr r="H18" s="15"/>
        <tr r="E125" s="9"/>
        <tr r="E392" s="9"/>
        <tr r="E393" s="9"/>
        <tr r="E232" s="9"/>
        <tr r="E144" s="9"/>
        <tr r="E352" s="9"/>
        <tr r="E181" s="9"/>
        <tr r="E113" s="9"/>
        <tr r="E255" s="9"/>
        <tr r="E417" s="9"/>
        <tr r="E228" s="9"/>
        <tr r="E45" s="9"/>
        <tr r="E180" s="9"/>
        <tr r="E9" s="9"/>
        <tr r="E120" s="9"/>
        <tr r="E27" s="9"/>
        <tr r="E199" s="9"/>
        <tr r="E279" s="9"/>
        <tr r="E164" s="9"/>
        <tr r="E244" s="9"/>
        <tr r="E401" s="9"/>
        <tr r="E57" s="9"/>
        <tr r="E161" s="9"/>
        <tr r="E391" s="9"/>
        <tr r="E223" s="9"/>
        <tr r="E148" s="9"/>
        <tr r="E335" s="9"/>
        <tr r="E176" s="9"/>
        <tr r="E221" s="9"/>
        <tr r="E108" s="9"/>
        <tr r="E207" s="9"/>
        <tr r="E356" s="9"/>
        <tr r="E112" s="9"/>
        <tr r="E452" s="9"/>
        <tr r="E145" s="9"/>
        <tr r="E365" s="9"/>
        <tr r="E154" s="9"/>
        <tr r="E418" s="9"/>
        <tr r="E177" s="9"/>
        <tr r="E200" s="9"/>
        <tr r="E420" s="9"/>
        <tr r="E65" s="9"/>
        <tr r="E313" s="9"/>
        <tr r="E261" s="9"/>
        <tr r="E202" s="9"/>
        <tr r="E344" s="9"/>
        <tr r="E173" s="9"/>
        <tr r="E353" s="9"/>
        <tr r="E111" s="9"/>
        <tr r="L18" s="15"/>
        <tr r="E256" s="9"/>
        <tr r="E381" s="9"/>
        <tr r="E415" s="9"/>
        <tr r="E172" s="9"/>
        <tr r="E314" s="9"/>
        <tr r="E336" s="9"/>
        <tr r="E495" s="9"/>
        <tr r="E252" s="9"/>
        <tr r="E160" s="9"/>
        <tr r="E361" s="9"/>
        <tr r="E303" s="9"/>
        <tr r="E185" s="9"/>
        <tr r="E338" s="9"/>
        <tr r="E13" s="9"/>
        <tr r="E191" s="9"/>
        <tr r="E137" s="9"/>
        <tr r="E290" s="9"/>
        <tr r="E455" s="9"/>
        <tr r="E269" s="9"/>
        <tr r="E95" s="9"/>
        <tr r="E84" s="9"/>
        <tr r="E175" s="9"/>
        <tr r="E121" s="9"/>
        <tr r="E274" s="9"/>
        <tr r="E346" s="9"/>
        <tr r="E201" s="9"/>
        <tr r="E354" s="9"/>
        <tr r="E25" s="9"/>
        <tr r="E501" s="9"/>
        <tr r="E196" s="9"/>
        <tr r="E138" s="9"/>
        <tr r="E105" s="9"/>
        <tr r="E258" s="9"/>
        <tr r="E364" s="9"/>
        <tr r="E122" s="9"/>
        <tr r="E240" s="9"/>
        <tr r="E402" s="9"/>
        <tr r="E159" s="9"/>
        <tr r="E308" s="9"/>
        <tr r="E152" s="9"/>
        <tr r="E430" s="9"/>
        <tr r="E490" s="9"/>
        <tr r="E92" s="9"/>
        <tr r="E360" s="9"/>
        <tr r="E189" s="9"/>
        <tr r="E394" s="9"/>
        <tr r="E129" s="9"/>
        <tr r="D18" s="15"/>
        <tr r="E80" s="9"/>
        <tr r="E466" s="9"/>
        <tr r="E209" s="9"/>
        <tr r="E503" s="9"/>
        <tr r="E309" s="9"/>
        <tr r="E369" s="9"/>
        <tr r="E170" s="9"/>
        <tr r="E218" s="9"/>
        <tr r="E295" s="9"/>
        <tr r="E312" s="9"/>
        <tr r="E106" s="9"/>
        <tr r="E247" s="9"/>
        <tr r="E332" s="9"/>
        <tr r="E114" s="9"/>
        <tr r="E23" s="9"/>
        <tr r="E194" s="9"/>
        <tr r="E248" s="9"/>
        <tr r="E90" s="9"/>
        <tr r="E231" s="9"/>
        <tr r="E234" s="9"/>
        <tr r="E311" s="9"/>
        <tr r="E319" s="9"/>
        <tr r="E153" s="9"/>
        <tr r="E306" s="9"/>
        <tr r="E184" s="9"/>
        <tr r="E55" s="9"/>
        <tr r="E215" s="9"/>
        <tr r="E489" s="9"/>
        <tr r="E301" s="9"/>
        <tr r="E477" s="9"/>
        <tr r="E268" s="9"/>
        <tr r="E367" s="9"/>
        <tr r="E35" s="9"/>
        <tr r="E457" s="9"/>
        <tr r="E192" s="9"/>
        <tr r="E168" s="9"/>
        <tr r="E476" s="9"/>
        <tr r="G15" s="15"/>
        <tr r="E272" s="9"/>
        <tr r="E438" s="9"/>
        <tr r="E474" s="9"/>
        <tr r="G9" s="15"/>
        <tr r="E471" s="9"/>
        <tr r="E288" s="9"/>
        <tr r="E117" s="9"/>
        <tr r="E516" s="9"/>
        <tr r="E127" s="9"/>
        <tr r="E333" s="9"/>
        <tr r="E100" s="9"/>
        <tr r="E141" s="9"/>
        <tr r="E31" s="9"/>
        <tr r="E260" s="9"/>
        <tr r="E437" s="9"/>
        <tr r="E71" s="9"/>
        <tr r="E441" s="9"/>
        <tr r="E151" s="9"/>
        <tr r="E77" s="9"/>
        <tr r="E19" s="9"/>
        <tr r="E116" s="9"/>
        <tr r="E484" s="9"/>
        <tr r="E11" s="9"/>
        <tr r="E128" s="9"/>
        <tr r="E349" s="9"/>
        <tr r="E528" s="9"/>
        <tr r="E328" s="9"/>
        <tr r="E157" s="9"/>
        <tr r="E321" s="9"/>
        <tr r="E458" s="9"/>
        <tr r="E79" s="9"/>
        <tr r="E389" s="9"/>
        <tr r="E520" s="9"/>
        <tr r="C9" s="15"/>
        <tr r="E136" s="9"/>
        <tr r="E513" s="9"/>
        <tr r="E378" s="9"/>
        <tr r="E43" s="9"/>
        <tr r="E368" s="9"/>
        <tr r="E197" s="9"/>
        <tr r="E409" s="9"/>
        <tr r="E74" s="9"/>
        <tr r="E460" s="9"/>
        <tr r="E280" s="9"/>
        <tr r="E109" s="9"/>
        <tr r="E449" s="9"/>
        <tr r="E225" s="9"/>
        <tr r="E348" s="9"/>
        <tr r="E510" s="9"/>
        <tr r="E317" s="9"/>
        <tr r="E385" s="9"/>
        <tr r="E506" s="9"/>
        <tr r="E81" s="9"/>
        <tr r="E446" s="9"/>
        <tr r="N9" s="15"/>
        <tr r="E442" s="9"/>
        <tr r="E96" s="9"/>
        <tr r="E284" s="9"/>
        <tr r="E473" s="9"/>
        <tr r="E51" s="9"/>
        <tr r="E210" s="9"/>
        <tr r="E469" s="9"/>
        <tr r="E162" s="9"/>
        <tr r="E217" s="9"/>
        <tr r="E370" s="9"/>
        <tr r="E37" s="9"/>
        <tr r="E289" s="9"/>
        <tr r="E329" s="9"/>
        <tr r="E463" s="9"/>
        <tr r="E426" s="9"/>
        <tr r="E146" s="9"/>
        <tr r="E63" s="9"/>
        <tr r="E73" s="9"/>
        <tr r="E226" s="9"/>
        <tr r="E143" s="9"/>
        <tr r="E68" s="9"/>
        <tr r="E178" s="9"/>
        <tr r="E372" s="9"/>
        <tr r="E130" s="9"/>
        <tr r="E39" s="9"/>
        <tr r="E416" s="9"/>
        <tr r="E245" s="9"/>
        <tr r="E241" s="9"/>
        <tr r="E383" s="9"/>
        <tr r="E47" s="9"/>
        <tr r="E167" s="9"/>
        <tr r="E340" s="9"/>
        <tr r="E119" s="9"/>
        <tr r="E21" s="9"/>
        <tr r="E271" s="9"/>
        <tr r="E327" s="9"/>
        <tr r="E5" s="9"/>
        <tr r="E423" s="9"/>
        <tr r="E66" s="9"/>
        <tr r="E324" s="9"/>
        <tr r="E103" s="9"/>
        <tr r="E183" s="9"/>
        <tr r="E205" s="9"/>
        <tr r="E59" s="9"/>
        <tr r="E135" s="9"/>
        <tr r="E87" s="9"/>
        <tr r="E453" s="9"/>
        <tr r="E104" s="9"/>
        <tr r="E498" s="9"/>
        <tr r="E300" s="9"/>
        <tr r="E208" s="9"/>
        <tr r="E462" s="9"/>
        <tr r="K9" s="15"/>
        <tr r="E397" s="9"/>
        <tr r="E224" s="9"/>
        <tr r="E431" s="9"/>
        <tr r="E15" s="9"/>
        <tr r="E265" s="9"/>
        <tr r="E186" s="9"/>
        <tr r="E132" s="9"/>
        <tr r="E362" s="9"/>
        <tr r="E212" s="9"/>
        <tr r="E33" s="9"/>
        <tr r="E249" s="9"/>
        <tr r="E412" s="9"/>
        <tr r="E61" s="9"/>
        <tr r="E263" s="9"/>
        <tr r="E434" s="9"/>
        <tr r="E377" s="9"/>
        <tr r="E487" s="9"/>
        <tr r="E233" s="9"/>
        <tr r="E386" s="9"/>
        <tr r="E49" s="9"/>
        <tr r="E285" s="9"/>
        <tr r="E236" s="9"/>
        <tr r="E88" s="9"/>
        <tr r="E282" s="9"/>
        <tr r="E384" s="9"/>
        <tr r="E305" s="9"/>
        <tr r="E296" s="9"/>
        <tr r="E478" s="9"/>
        <tr r="E439" s="9"/>
        <tr r="E264" s="9"/>
        <tr r="E93" s="9"/>
        <tr r="E193" s="9"/>
        <tr r="E325" s="9"/>
        <tr r="E509" s="9"/>
        <tr r="E273" s="9"/>
        <tr r="E330" s="9"/>
        <tr r="E7" s="9"/>
        <tr r="E408" s="9"/>
        <tr r="E237" s="9"/>
        <tr r="E399" s="9"/>
        <tr r="E140" s="9"/>
        <tr r="E239" s="9"/>
        <tr r="E388" s="9"/>
        <tr r="E413" s="9"/>
        <tr r="E72" s="9"/>
        <tr r="E250" s="9"/>
        <tr r="E404" s="9"/>
        <tr r="E304" s="9"/>
        <tr r="E133" s="9"/>
        <tr r="E481" s="9"/>
        <tr r="E287" s="9"/>
        <tr r="E216" s="9"/>
        <tr r="E505" s="9"/>
        <tr r="E97" s="9"/>
        <tr r="E345" s="9"/>
        <tr r="E320" s="9"/>
        <tr r="E64" s="9"/>
        <tr r="E445" s="9"/>
        <tr r="E220" s="9"/>
        <tr r="E425" s="9"/>
        <tr r="E253" s="9"/>
        <tr r="E470" s="9"/>
        <tr r="E257" s="9"/>
        <tr r="E400" s="9"/>
        <tr r="E337" s="9"/>
        <tr r="E376" s="9"/>
        <tr r="E373" s="9"/>
        <tr r="E407" s="9"/>
        <tr r="E156" s="9"/>
        <tr r="E298" s="9"/>
        <tr r="E76" s="9"/>
        <tr r="E281" s="9"/>
        <tr r="E82" s="9"/>
        <tr r="E396" s="9"/>
        <tr r="E375" s="9"/>
        <tr r="E41" s="9"/>
        <tr r="E89" s="9"/>
        <tr r="E242" s="9"/>
        <tr r="E266" s="9"/>
        <tr r="E169" s="9"/>
        <tr r="E322" s="9"/>
        <tr r="E351" s="9"/>
        <tr r="E359" s="9"/>
        <tr r="E29" s="9"/>
        <tr r="E204" s="9"/>
        <tr r="E297" s="9"/>
        <tr r="E508" s="9"/>
        <tr r="E98" s="9"/>
        <tr r="E410" s="9"/>
        <tr r="E292" s="9"/>
        <tr r="E494" s="9"/>
        <tr r="E53" s="9"/>
        <tr r="E343" s="9"/>
        <tr r="E17" s="9"/>
        <tr r="H7" s="15"/>
        <tr r="D7" s="15"/>
        <tr r="L10" s="15"/>
        <tr r="M8" s="15"/>
        <tr r="I6" s="15"/>
        <tr r="I8" s="15"/>
        <tr r="O7" s="15"/>
        <tr r="M10" s="15"/>
        <tr r="E8" s="15"/>
        <tr r="G7" s="15"/>
        <tr r="I10" s="15"/>
        <tr r="O9" s="15"/>
        <tr r="L8" s="15"/>
        <tr r="E10" s="15"/>
        <tr r="D8" s="15"/>
        <tr r="H16" s="15"/>
        <tr r="E16" s="15"/>
        <tr r="L16" s="15"/>
        <tr r="F18" s="15"/>
        <tr r="E529" s="9"/>
        <tr r="E526" s="9"/>
        <tr r="E496" s="9"/>
        <tr r="E464" s="9"/>
        <tr r="E432" s="9"/>
        <tr r="E486" s="9"/>
        <tr r="E433" s="9"/>
        <tr r="E398" s="9"/>
        <tr r="E366" s="9"/>
        <tr r="E334" s="9"/>
        <tr r="E302" s="9"/>
        <tr r="E270" s="9"/>
        <tr r="E238" s="9"/>
        <tr r="E206" s="9"/>
        <tr r="E174" s="9"/>
        <tr r="E142" s="9"/>
        <tr r="E110" s="9"/>
        <tr r="E75" s="9"/>
        <tr r="E46" s="9"/>
        <tr r="E20" s="9"/>
        <tr r="C17" s="9"/>
        <tr r="C49" s="9"/>
        <tr r="C87" s="9"/>
        <tr r="C130" s="9"/>
        <tr r="B173" s="9"/>
        <tr r="C215" s="9"/>
        <tr r="C258" s="9"/>
        <tr r="B301" s="9"/>
        <tr r="C343" s="9"/>
        <tr r="C386" s="9"/>
        <tr r="B480" s="9"/>
        <tr r="E357" s="9"/>
        <tr r="B31" s="9"/>
        <tr r="B63" s="9"/>
        <tr r="C105" s="9"/>
        <tr r="C148" s="9"/>
        <tr r="B191" s="9"/>
        <tr r="C233" s="9"/>
        <tr r="B287" s="9"/>
        <tr r="C372" s="9"/>
        <tr r="E124" s="9"/>
        <tr r="C55" s="9"/>
        <tr r="C138" s="9"/>
        <tr r="C223" s="9"/>
        <tr r="B309" s="9"/>
        <tr r="C487" s="9"/>
        <tr r="B119" s="9"/>
        <tr r="E165" s="9"/>
        <tr r="B26" s="9"/>
        <tr r="C184" s="9"/>
        <tr r="N16" s="15"/>
        <tr r="E527" s="9"/>
        <tr r="E482" s="9"/>
        <tr r="E331" s="9"/>
        <tr r="E267" s="9"/>
        <tr r="E203" s="9"/>
        <tr r="E171" s="9"/>
        <tr r="E107" s="9"/>
        <tr r="E70" s="9"/>
        <tr r="E40" s="9"/>
        <tr r="C53" s="9"/>
        <tr r="B93" s="9"/>
        <tr r="C135" s="9"/>
        <tr r="C178" s="9"/>
        <tr r="B221" s="9"/>
        <tr r="C306" s="9"/>
        <tr r="B349" s="9"/>
        <tr r="C391" s="9"/>
        <tr r="C494" s="9"/>
        <tr r="E444" s="9"/>
        <tr r="B35" s="9"/>
        <tr r="C68" s="9"/>
        <tr r="B111" s="9"/>
        <tr r="C153" s="9"/>
        <tr r="C196" s="9"/>
        <tr r="B239" s="9"/>
        <tr r="C292" s="9"/>
        <tr r="C377" s="9"/>
        <tr r="C59" s="9"/>
        <tr r="C143" s="9"/>
        <tr r="B229" s="9"/>
        <tr r="C319" s="9"/>
        <tr r="C501" s="9"/>
        <tr r="C161" s="9"/>
        <tr r="C410" s="9"/>
        <tr r="B42" s="9"/>
        <tr r="C205" s="9"/>
        <tr r="G19" s="15"/>
        <tr r="E293" s="9"/>
        <tr r="O15" s="15"/>
        <tr r="N6" s="15"/>
        <tr r="H6" s="15"/>
        <tr r="O8" s="15"/>
        <tr r="O6" s="15"/>
        <tr r="I7" s="15"/>
        <tr r="J9" s="15"/>
        <tr r="C19" s="15"/>
        <tr r="J16" s="15"/>
        <tr r="N15" s="15"/>
        <tr r="D19" s="15"/>
        <tr r="K16" s="15"/>
        <tr r="E523" s="9"/>
        <tr r="E518" s="9"/>
        <tr r="E488" s="9"/>
        <tr r="E456" s="9"/>
        <tr r="E424" s="9"/>
        <tr r="E479" s="9"/>
        <tr r="E422" s="9"/>
        <tr r="E390" s="9"/>
        <tr r="E358" s="9"/>
        <tr r="E326" s="9"/>
        <tr r="E294" s="9"/>
        <tr r="E262" s="9"/>
        <tr r="E230" s="9"/>
        <tr r="E198" s="9"/>
        <tr r="E166" s="9"/>
        <tr r="E134" s="9"/>
        <tr r="E102" s="9"/>
        <tr r="E67" s="9"/>
        <tr r="E38" s="9"/>
        <tr r="E14" s="9"/>
        <tr r="C25" s="9"/>
        <tr r="C57" s="9"/>
        <tr r="C98" s="9"/>
        <tr r="B141" s="9"/>
        <tr r="C183" s="9"/>
        <tr r="C226" s="9"/>
        <tr r="B269" s="9"/>
        <tr r="C311" s="9"/>
        <tr r="C354" s="9"/>
        <tr r="C401" s="9"/>
        <tr r="C508" s="9"/>
        <tr r="B7" s="9"/>
        <tr r="B39" s="9"/>
        <tr r="C73" s="9"/>
        <tr r="C116" s="9"/>
        <tr r="B159" s="9"/>
        <tr r="C201" s="9"/>
        <tr r="C244" s="9"/>
        <tr r="C297" s="9"/>
        <tr r="B383" s="9"/>
        <tr r="E380" s="9"/>
        <tr r="C63" s="9"/>
        <tr r="B149" s="9"/>
        <tr r="C234" s="9"/>
        <tr r="C346" s="9"/>
        <tr r="E69" s="9"/>
        <tr r="C204" s="9"/>
        <tr r="C434" s="9"/>
        <tr r="B58" s="9"/>
        <tr r="B227" s="9"/>
        <tr r="J10" s="15"/>
        <tr r="K19" s="15"/>
        <tr r="I17" s="15"/>
        <tr r="F19" s="15"/>
        <tr r="M7" s="15"/>
        <tr r="O16" s="15"/>
        <tr r="E459" s="9"/>
        <tr r="E427" s="9"/>
        <tr r="E395" s="9"/>
        <tr r="E299" s="9"/>
        <tr r="E235" s="9"/>
        <tr r="E139" s="9"/>
        <tr r="C263" s="9"/>
        <tr r="O18" s="15"/>
        <tr r="J6" s="15"/>
        <tr r="D6" s="15"/>
        <tr r="K8" s="15"/>
        <tr r="K6" s="15"/>
        <tr r="E7" s="15"/>
        <tr r="F9" s="15"/>
        <tr r="L15" s="15"/>
        <tr r="F16" s="15"/>
        <tr r="F15" s="15"/>
        <tr r="M15" s="15"/>
        <tr r="G16" s="15"/>
        <tr r="E521" s="9"/>
        <tr r="E515" s="9"/>
        <tr r="E483" s="9"/>
        <tr r="E451" s="9"/>
        <tr r="E524" s="9"/>
        <tr r="E465" s="9"/>
        <tr r="E419" s="9"/>
        <tr r="E387" s="9"/>
        <tr r="E355" s="9"/>
        <tr r="E323" s="9"/>
        <tr r="E291" s="9"/>
        <tr r="E259" s="9"/>
        <tr r="E227" s="9"/>
        <tr r="E195" s="9"/>
        <tr r="E163" s="9"/>
        <tr r="E131" s="9"/>
        <tr r="E99" s="9"/>
        <tr r="E62" s="9"/>
        <tr r="E36" s="9"/>
        <tr r="E12" s="9"/>
        <tr r="C29" s="9"/>
        <tr r="C61" s="9"/>
        <tr r="C103" s="9"/>
        <tr r="C146" s="9"/>
        <tr r="B189" s="9"/>
        <tr r="C231" s="9"/>
        <tr r="C274" s="9"/>
        <tr r="B317" s="9"/>
        <tr r="C359" s="9"/>
        <tr r="C412" s="9"/>
        <tr r="B526" s="9"/>
        <tr r="B11" s="9"/>
        <tr r="B43" s="9"/>
        <tr r="B79" s="9"/>
        <tr r="C121" s="9"/>
        <tr r="C164" s="9"/>
        <tr r="B207" s="9"/>
        <tr r="C249" s="9"/>
        <tr r="C324" s="9"/>
        <tr r="C426" s="9"/>
        <tr r="C19" s="9"/>
        <tr r="C90" s="9"/>
        <tr r="C175" s="9"/>
        <tr r="B261" s="9"/>
        <tr r="C351" s="9"/>
        <tr r="B9" s="9"/>
        <tr r="B247" s="9"/>
        <tr r="C463" s="9"/>
        <tr r="C77" s="9"/>
        <tr r="C248" s="9"/>
        <tr r="C10" s="15"/>
        <tr r="D9" s="15"/>
        <tr r="I19" s="15"/>
        <tr r="F7" s="15"/>
        <tr r="F10" s="15"/>
        <tr r="E6" s="15"/>
        <tr r="C16" s="15"/>
        <tr r="E519" s="9"/>
        <tr r="E512" s="9"/>
        <tr r="E480" s="9"/>
        <tr r="E448" s="9"/>
        <tr r="E514" s="9"/>
        <tr r="E461" s="9"/>
        <tr r="E414" s="9"/>
        <tr r="E382" s="9"/>
        <tr r="E350" s="9"/>
        <tr r="E318" s="9"/>
        <tr r="E286" s="9"/>
        <tr r="E254" s="9"/>
        <tr r="E222" s="9"/>
        <tr r="E190" s="9"/>
        <tr r="E158" s="9"/>
        <tr r="E126" s="9"/>
        <tr r="E94" s="9"/>
        <tr r="E60" s="9"/>
        <tr r="E34" s="9"/>
        <tr r="E8" s="9"/>
        <tr r="C33" s="9"/>
        <tr r="C66" s="9"/>
        <tr r="B109" s="9"/>
        <tr r="C151" s="9"/>
        <tr r="C194" s="9"/>
        <tr r="B237" s="9"/>
        <tr r="C279" s="9"/>
        <tr r="C322" s="9"/>
        <tr r="B365" s="9"/>
        <tr r="C423" s="9"/>
        <tr r="E42" s="9"/>
        <tr r="B15" s="9"/>
        <tr r="B47" s="9"/>
        <tr r="C84" s="9"/>
        <tr r="B127" s="9"/>
        <tr r="C169" s="9"/>
        <tr r="C212" s="9"/>
        <tr r="B255" s="9"/>
        <tr r="C329" s="9"/>
        <tr r="C441" s="9"/>
        <tr r="C23" s="9"/>
        <tr r="C95" s="9"/>
        <tr r="B181" s="9"/>
        <tr r="C266" s="9"/>
        <tr r="C362" s="9"/>
        <tr r="B13" s="9"/>
        <tr r="C289" s="9"/>
        <tr r="B492" s="9"/>
        <tr r="B99" s="9"/>
        <tr r="C269" s="9"/>
        <tr r="L17" s="15"/>
        <tr r="E531" s="9"/>
        <tr r="E507" s="9"/>
        <tr r="E475" s="9"/>
        <tr r="E443" s="9"/>
        <tr r="E511" s="9"/>
        <tr r="E454" s="9"/>
        <tr r="E411" s="9"/>
        <tr r="E379" s="9"/>
        <tr r="E347" s="9"/>
        <tr r="E315" s="9"/>
        <tr r="E283" s="9"/>
        <tr r="E251" s="9"/>
        <tr r="E219" s="9"/>
        <tr r="E187" s="9"/>
        <tr r="E155" s="9"/>
        <tr r="E123" s="9"/>
        <tr r="E91" s="9"/>
        <tr r="E56" s="9"/>
        <tr r="E30" s="9"/>
        <tr r="C5" s="9"/>
        <tr r="C37" s="9"/>
        <tr r="C71" s="9"/>
        <tr r="C114" s="9"/>
        <tr r="B157" s="9"/>
        <tr r="C199" s="9"/>
        <tr r="C242" s="9"/>
        <tr r="B285" s="9"/>
        <tr r="C327" s="9"/>
        <tr r="C370" s="9"/>
        <tr r="C437" s="9"/>
        <tr r="E101" s="9"/>
        <tr r="B19" s="9"/>
        <tr r="B51" s="9"/>
        <tr r="C89" s="9"/>
        <tr r="C132" s="9"/>
        <tr r="B175" s="9"/>
        <tr r="C217" s="9"/>
        <tr r="C260" s="9"/>
        <tr r="B335" s="9"/>
        <tr r="C455" s="9"/>
        <tr r="C27" s="9"/>
        <tr r="B101" s="9"/>
        <tr r="C186" s="9"/>
        <tr r="C271" s="9"/>
        <tr r="B389" s="9"/>
        <tr r="B21" s="9"/>
        <tr r="C332" s="9"/>
        <tr r="B522" s="9"/>
        <tr r="C120" s="9"/>
        <tr r="B291" s="9"/>
        <tr r="J19" s="15"/>
        <tr r="J7" s="15"/>
        <tr r="M6" s="15"/>
        <tr r="E18" s="15"/>
        <tr r="L6" s="15"/>
        <tr r="H19" s="15"/>
        <tr r="E522" s="9"/>
        <tr r="E429" s="9"/>
        <tr r="C21" s="9"/>
        <tr r="F6" s="15"/>
        <tr r="G8" s="15"/>
        <tr r="N8" s="15"/>
        <tr r="H15" s="15"/>
        <tr r="K18" s="15"/>
        <tr r="J17" s="15"/>
        <tr r="O10" s="15"/>
        <tr r="C8" s="15"/>
        <tr r="J8" s="15"/>
        <tr r="D15" s="15"/>
        <tr r="F17" s="15"/>
        <tr r="H17" s="15"/>
        <tr r="E525" s="9"/>
        <tr r="E504" s="9"/>
        <tr r="E472" s="9"/>
        <tr r="E440" s="9"/>
        <tr r="E497" s="9"/>
        <tr r="E450" s="9"/>
        <tr r="E406" s="9"/>
        <tr r="E374" s="9"/>
        <tr r="E342" s="9"/>
        <tr r="E310" s="9"/>
        <tr r="E278" s="9"/>
        <tr r="E246" s="9"/>
        <tr r="E214" s="9"/>
        <tr r="E182" s="9"/>
        <tr r="E150" s="9"/>
        <tr r="E118" s="9"/>
        <tr r="E83" s="9"/>
        <tr r="E52" s="9"/>
        <tr r="E28" s="9"/>
        <tr r="C9" s="9"/>
        <tr r="C41" s="9"/>
        <tr r="B77" s="9"/>
        <tr r="C119" s="9"/>
        <tr r="C162" s="9"/>
        <tr r="B205" s="9"/>
        <tr r="C247" s="9"/>
        <tr r="C290" s="9"/>
        <tr r="B333" s="9"/>
        <tr r="C375" s="9"/>
        <tr r="B452" s="9"/>
        <tr r="E188" s="9"/>
        <tr r="B23" s="9"/>
        <tr r="B55" s="9"/>
        <tr r="B95" s="9"/>
        <tr r="C137" s="9"/>
        <tr r="C180" s="9"/>
        <tr r="B223" s="9"/>
        <tr r="C265" s="9"/>
        <tr r="C340" s="9"/>
        <tr r="C469" s="9"/>
        <tr r="C31" s="9"/>
        <tr r="C106" s="9"/>
        <tr r="C191" s="9"/>
        <tr r="B277" s="9"/>
        <tr r="C396" s="9"/>
        <tr r="B41" s="9"/>
        <tr r="B375" s="9"/>
        <tr r="E213" s="9"/>
        <tr r="C141" s="9"/>
        <tr r="C312" s="9"/>
        <tr r="E19" s="15"/>
        <tr r="E491" s="9"/>
        <tr r="E363" s="9"/>
        <tr r="E16" s="9"/>
        <tr r="N17" s="15"/>
        <tr r="M9" s="15"/>
        <tr r="G6" s="15"/>
        <tr r="K7" s="15"/>
        <tr r="O17" s="15"/>
        <tr r="I15" s="15"/>
        <tr r="I9" s="15"/>
        <tr r="C6" s="15"/>
        <tr r="C7" s="15"/>
        <tr r="K17" s="15"/>
        <tr r="G18" s="15"/>
        <tr r="E15" s="15"/>
        <tr r="K10" s="15"/>
        <tr r="E9" s="15"/>
        <tr r="D10" s="15"/>
        <tr r="L9" s="15"/>
        <tr r="F8" s="15"/>
        <tr r="H8" s="15"/>
        <tr r="M18" s="15"/>
        <tr r="G17" s="15"/>
        <tr r="C18" s="15"/>
        <tr r="N18" s="15"/>
        <tr r="N19" s="15"/>
        <tr r="G10" s="15"/>
        <tr r="N7" s="15"/>
        <tr r="N10" s="15"/>
        <tr r="H9" s="15"/>
        <tr r="H10" s="15"/>
        <tr r="O19" s="15"/>
        <tr r="I18" s="15"/>
        <tr r="C17" s="15"/>
        <tr r="D16" s="15"/>
        <tr r="J18" s="15"/>
        <tr r="D17" s="15"/>
        <tr r="E530" s="9"/>
        <tr r="E499" s="9"/>
        <tr r="E467" s="9"/>
        <tr r="E435" s="9"/>
        <tr r="E493" s="9"/>
        <tr r="E447" s="9"/>
        <tr r="E403" s="9"/>
        <tr r="E371" s="9"/>
        <tr r="E339" s="9"/>
        <tr r="E307" s="9"/>
        <tr r="E275" s="9"/>
        <tr r="E243" s="9"/>
        <tr r="E211" s="9"/>
        <tr r="E179" s="9"/>
        <tr r="E147" s="9"/>
        <tr r="E115" s="9"/>
        <tr r="E78" s="9"/>
        <tr r="E50" s="9"/>
        <tr r="E24" s="9"/>
        <tr r="C13" s="9"/>
        <tr r="C45" s="9"/>
        <tr r="C82" s="9"/>
        <tr r="B125" s="9"/>
        <tr r="C167" s="9"/>
        <tr r="C210" s="9"/>
        <tr r="B253" s="9"/>
        <tr r="C295" s="9"/>
        <tr r="C338" s="9"/>
        <tr r="B381" s="9"/>
        <tr r="B466" s="9"/>
        <tr r="E276" s="9"/>
        <tr r="B27" s="9"/>
        <tr r="B59" s="9"/>
        <tr r="C100" s="9"/>
        <tr r="B143" s="9"/>
        <tr r="C185" s="9"/>
        <tr r="C228" s="9"/>
        <tr r="C281" s="9"/>
        <tr r="B367" s="9"/>
        <tr r="E54" s="9"/>
        <tr r="C51" s="9"/>
        <tr r="B133" s="9"/>
        <tr r="C218" s="9"/>
        <tr r="C303" s="9"/>
        <tr r="C417" s="9"/>
        <tr r="C76" s="9"/>
        <tr r="B448" s="9"/>
        <tr r="B10" s="9"/>
        <tr r="B163" s="9"/>
        <tr r="C333" s="9"/>
        <tr r="C276" s="9"/>
        <tr r="B319" s="9"/>
        <tr r="C361" s="9"/>
        <tr r="B415" s="9"/>
        <tr r="E6" s="9"/>
        <tr r="C15" s="9"/>
        <tr r="C47" s="9"/>
        <tr r="B85" s="9"/>
        <tr r="C127" s="9"/>
        <tr r="C170" s="9"/>
        <tr r="B213" s="9"/>
        <tr r="C255" s="9"/>
        <tr r="C298" s="9"/>
        <tr r="B341" s="9"/>
        <tr r="C383" s="9"/>
        <tr r="C473" s="9"/>
        <tr r="B5" s="9"/>
        <tr r="B37" s="9"/>
        <tr r="B71" s="9"/>
        <tr r="C113" s="9"/>
        <tr r="C156" s="9"/>
        <tr r="B199" s="9"/>
        <tr r="C241" s="9"/>
        <tr r="C284" s="9"/>
        <tr r="B327" s="9"/>
        <tr r="C369" s="9"/>
        <tr r="B434" s="9"/>
        <tr r="E85" s="9"/>
        <tr r="C407" s="9"/>
        <tr r="C431" s="9"/>
        <tr r="B460" s="9"/>
        <tr r="B488" s="9"/>
        <tr r="C516" s="9"/>
        <tr r="E149" s="9"/>
        <tr r="B8" s="9"/>
        <tr r="B24" s="9"/>
        <tr r="B40" s="9"/>
        <tr r="B56" s="9"/>
        <tr r="B75" s="9"/>
        <tr r="C96" s="9"/>
        <tr r="C117" s="9"/>
        <tr r="B139" s="9"/>
        <tr r="C160" s="9"/>
        <tr r="C181" s="9"/>
        <tr r="B203" s="9"/>
        <tr r="C224" s="9"/>
        <tr r="C245" s="9"/>
        <tr r="B267" s="9"/>
        <tr r="C288" s="9"/>
        <tr r="C309" s="9"/>
        <tr r="B331" s="9"/>
        <tr r="C352" s="9"/>
        <tr r="C373" s="9"/>
        <tr r="B395" s="9"/>
        <tr r="C416" s="9"/>
        <tr r="C442" s="9"/>
        <tr r="C471" s="9"/>
        <tr r="B500" s="9"/>
        <tr r="E10" s="9"/>
        <tr r="C8" s="9"/>
        <tr r="C24" s="9"/>
        <tr r="C40" s="9"/>
        <tr r="C56" s="9"/>
        <tr r="C75" s="9"/>
        <tr r="B97" s="9"/>
        <tr r="C118" s="9"/>
        <tr r="C139" s="9"/>
        <tr r="B161" s="9"/>
        <tr r="C182" s="9"/>
        <tr r="C203" s="9"/>
        <tr r="B225" s="9"/>
        <tr r="C246" s="9"/>
        <tr r="C267" s="9"/>
        <tr r="B289" s="9"/>
        <tr r="C310" s="9"/>
        <tr r="C331" s="9"/>
        <tr r="B353" s="9"/>
        <tr r="C374" s="9"/>
        <tr r="C395" s="9"/>
        <tr r="B417" s="9"/>
        <tr r="B444" s="9"/>
        <tr r="B472" s="9"/>
        <tr r="E500" s="9"/>
        <tr r="C500" s="9"/>
        <tr r="B64" s="9"/>
        <tr r="B80" s="9"/>
        <tr r="B96" s="9"/>
        <tr r="B112" s="9"/>
        <tr r="B128" s="9"/>
        <tr r="B144" s="9"/>
        <tr r="B160" s="9"/>
        <tr r="B176" s="9"/>
        <tr r="B192" s="9"/>
        <tr r="B208" s="9"/>
        <tr r="B224" s="9"/>
        <tr r="B240" s="9"/>
        <tr r="B256" s="9"/>
        <tr r="B272" s="9"/>
        <tr r="B288" s="9"/>
        <tr r="B304" s="9"/>
        <tr r="B320" s="9"/>
        <tr r="B336" s="9"/>
        <tr r="B352" s="9"/>
        <tr r="B368" s="9"/>
        <tr r="B384" s="9"/>
        <tr r="B400" s="9"/>
        <tr r="B416" s="9"/>
        <tr r="C435" s="9"/>
        <tr r="C456" s="9"/>
        <tr r="B478" s="9"/>
        <tr r="C499" s="9"/>
        <tr r="C522" s="9"/>
        <tr r="B433" s="9"/>
        <tr r="B449" s="9"/>
        <tr r="B465" s="9"/>
        <tr r="B481" s="9"/>
        <tr r="B497" s="9"/>
        <tr r="B513" s="9"/>
        <tr r="B529" s="9"/>
        <tr r="C529" s="9"/>
        <tr r="J15" s="15"/>
        <tr r="I16" s="15"/>
        <tr r="C15" s="15"/>
        <tr r="C14" s="15"/>
        <tr r="N4" s="15"/>
        <tr r="G4" s="15"/>
        <tr r="L7" s="15"/>
        <tr r="L4" s="15"/>
        <tr r="B5" s="15"/>
        <tr r="B355" s="9"/>
        <tr r="C376" s="9"/>
        <tr r="C397" s="9"/>
        <tr r="B419" s="9"/>
        <tr r="C446" s="9"/>
        <tr r="C474" s="9"/>
        <tr r="C503" s="9"/>
        <tr r="E22" s="9"/>
        <tr r="C10" s="9"/>
        <tr r="E26" s="9"/>
        <tr r="C26" s="9"/>
        <tr r="C42" s="9"/>
        <tr r="E58" s="9"/>
        <tr r="C58" s="9"/>
        <tr r="C78" s="9"/>
        <tr r="C99" s="9"/>
        <tr r="B121" s="9"/>
        <tr r="C142" s="9"/>
        <tr r="C163" s="9"/>
        <tr r="B185" s="9"/>
        <tr r="C206" s="9"/>
        <tr r="C227" s="9"/>
        <tr r="B249" s="9"/>
        <tr r="C270" s="9"/>
        <tr r="C291" s="9"/>
        <tr r="B313" s="9"/>
        <tr r="C334" s="9"/>
        <tr r="C355" s="9"/>
        <tr r="B377" s="9"/>
        <tr r="C398" s="9"/>
        <tr r="C419" s="9"/>
        <tr r="C447" s="9"/>
        <tr r="B476" s="9"/>
        <tr r="B504" s="9"/>
        <tr r="B66" s="9"/>
        <tr r="B82" s="9"/>
        <tr r="B98" s="9"/>
        <tr r="B114" s="9"/>
        <tr r="B130" s="9"/>
        <tr r="B146" s="9"/>
        <tr r="B162" s="9"/>
        <tr r="B178" s="9"/>
        <tr r="B194" s="9"/>
        <tr r="B210" s="9"/>
        <tr r="B226" s="9"/>
        <tr r="B242" s="9"/>
        <tr r="B258" s="9"/>
        <tr r="B274" s="9"/>
        <tr r="B290" s="9"/>
        <tr r="B306" s="9"/>
        <tr r="B322" s="9"/>
        <tr r="B338" s="9"/>
        <tr r="B354" s="9"/>
        <tr r="B370" s="9"/>
        <tr r="B386" s="9"/>
        <tr r="B402" s="9"/>
        <tr r="B418" s="9"/>
        <tr r="B438" s="9"/>
        <tr r="C459" s="9"/>
        <tr r="C480" s="9"/>
        <tr r="B502" s="9"/>
        <tr r="C526" s="9"/>
        <tr r="B435" s="9"/>
        <tr r="B451" s="9"/>
        <tr r="B467" s="9"/>
        <tr r="B483" s="9"/>
        <tr r="B499" s="9"/>
        <tr r="B515" s="9"/>
        <tr r="B531" s="9"/>
        <tr r="L19" s="15"/>
        <tr r="M19" s="15"/>
        <tr r="M16" s="15"/>
        <tr r="K15" s="15"/>
        <tr r="K14" s="15"/>
        <tr r="K4" s="15"/>
        <tr r="B8" s="15"/>
        <tr r="B45" s="9"/>
        <tr r="C81" s="9"/>
        <tr r="C124" s="9"/>
        <tr r="B167" s="9"/>
        <tr r="C209" s="9"/>
        <tr r="C252" s="9"/>
        <tr r="B295" s="9"/>
        <tr r="C337" s="9"/>
        <tr r="C380" s="9"/>
        <tr r="C462" s="9"/>
        <tr r="E421" s="9"/>
        <tr r="B413" s="9"/>
        <tr r="C438" s="9"/>
        <tr r="C466" s="9"/>
        <tr r="C495" s="9"/>
        <tr r="B528" s="9"/>
        <tr r="E277" s="9"/>
        <tr r="B12" s="9"/>
        <tr r="B28" s="9"/>
        <tr r="B44" s="9"/>
        <tr r="B60" s="9"/>
        <tr r="C80" s="9"/>
        <tr r="C101" s="9"/>
        <tr r="B123" s="9"/>
        <tr r="C144" s="9"/>
        <tr r="C165" s="9"/>
        <tr r="B187" s="9"/>
        <tr r="C208" s="9"/>
        <tr r="E229" s="9"/>
        <tr r="C229" s="9"/>
        <tr r="B251" s="9"/>
        <tr r="C272" s="9"/>
        <tr r="C293" s="9"/>
        <tr r="B315" s="9"/>
        <tr r="C336" s="9"/>
        <tr r="C357" s="9"/>
        <tr r="B379" s="9"/>
        <tr r="C400" s="9"/>
        <tr r="C421" s="9"/>
        <tr r="B450" s="9"/>
        <tr r="C478" s="9"/>
        <tr r="C506" s="9"/>
        <tr r="E48" s="9"/>
        <tr r="C12" s="9"/>
        <tr r="C28" s="9"/>
        <tr r="E44" s="9"/>
        <tr r="C44" s="9"/>
        <tr r="C60" s="9"/>
        <tr r="B81" s="9"/>
        <tr r="C102" s="9"/>
        <tr r="C123" s="9"/>
        <tr r="B145" s="9"/>
        <tr r="C166" s="9"/>
        <tr r="C187" s="9"/>
        <tr r="B209" s="9"/>
        <tr r="C230" s="9"/>
        <tr r="C251" s="9"/>
        <tr r="B273" s="9"/>
        <tr r="C294" s="9"/>
        <tr r="C315" s="9"/>
        <tr r="B337" s="9"/>
        <tr r="C358" s="9"/>
        <tr r="C379" s="9"/>
        <tr r="B401" s="9"/>
        <tr r="C422" s="9"/>
        <tr r="C450" s="9"/>
        <tr r="C479" s="9"/>
        <tr r="B508" s="9"/>
        <tr r="B68" s="9"/>
        <tr r="B84" s="9"/>
        <tr r="B100" s="9"/>
        <tr r="B116" s="9"/>
        <tr r="B132" s="9"/>
        <tr r="B148" s="9"/>
        <tr r="B164" s="9"/>
        <tr r="B180" s="9"/>
        <tr r="B196" s="9"/>
        <tr r="B212" s="9"/>
        <tr r="B228" s="9"/>
        <tr r="B244" s="9"/>
        <tr r="B260" s="9"/>
        <tr r="B276" s="9"/>
        <tr r="B292" s="9"/>
        <tr r="B308" s="9"/>
        <tr r="B324" s="9"/>
        <tr r="B340" s="9"/>
        <tr r="B356" s="9"/>
        <tr r="B372" s="9"/>
        <tr r="B388" s="9"/>
        <tr r="B404" s="9"/>
        <tr r="B420" s="9"/>
        <tr r="C440" s="9"/>
        <tr r="B462" s="9"/>
        <tr r="C483" s="9"/>
        <tr r="C504" s="9"/>
        <tr r="C530" s="9"/>
        <tr r="B437" s="9"/>
        <tr r="B453" s="9"/>
        <tr r="B469" s="9"/>
        <tr r="B485" s="9"/>
        <tr r="B501" s="9"/>
        <tr r="B517" s="9"/>
        <tr r="E517" s="9"/>
        <tr r="C517" s="9"/>
        <tr r="G14" s="15"/>
        <tr r="D14" s="15"/>
        <tr r="B15" s="15"/>
        <tr r="B10" s="15"/>
        <tr r="C314" s="9"/>
        <tr r="B357" s="9"/>
        <tr r="B407" s="9"/>
        <tr r="B516" s="9"/>
        <tr r="B17" s="9"/>
        <tr r="B49" s="9"/>
        <tr r="B87" s="9"/>
        <tr r="C129" s="9"/>
        <tr r="C172" s="9"/>
        <tr r="B215" s="9"/>
        <tr r="C257" s="9"/>
        <tr r="C300" s="9"/>
        <tr r="B343" s="9"/>
        <tr r="C385" s="9"/>
        <tr r="C476" s="9"/>
        <tr r="C394" s="9"/>
        <tr r="C415" s="9"/>
        <tr r="B442" s="9"/>
        <tr r="C470" s="9"/>
        <tr r="C498" s="9"/>
        <tr r="E18" s="9"/>
        <tr r="E341" s="9"/>
        <tr r="B14" s="9"/>
        <tr r="B30" s="9"/>
        <tr r="B46" s="9"/>
        <tr r="B62" s="9"/>
        <tr r="B83" s="9"/>
        <tr r="C104" s="9"/>
        <tr r="C125" s="9"/>
        <tr r="B147" s="9"/>
        <tr r="C168" s="9"/>
        <tr r="C189" s="9"/>
        <tr r="B211" s="9"/>
        <tr r="C232" s="9"/>
        <tr r="C253" s="9"/>
        <tr r="B275" s="9"/>
        <tr r="C296" s="9"/>
        <tr r="C317" s="9"/>
        <tr r="B339" s="9"/>
        <tr r="C360" s="9"/>
        <tr r="C381" s="9"/>
        <tr r="B403" s="9"/>
        <tr r="C425" s="9"/>
        <tr r="C453" s="9"/>
        <tr r="B482" s="9"/>
        <tr r="C510" s="9"/>
        <tr r="E436" s="9"/>
        <tr r="C14" s="9"/>
        <tr r="C30" s="9"/>
        <tr r="C46" s="9"/>
        <tr r="C62" s="9"/>
        <tr r="C83" s="9"/>
        <tr r="B105" s="9"/>
        <tr r="C126" s="9"/>
        <tr r="C147" s="9"/>
        <tr r="B169" s="9"/>
        <tr r="C190" s="9"/>
        <tr r="C211" s="9"/>
        <tr r="B233" s="9"/>
        <tr r="C254" s="9"/>
        <tr r="C275" s="9"/>
        <tr r="B297" s="9"/>
        <tr r="C318" s="9"/>
        <tr r="C339" s="9"/>
        <tr r="B361" s="9"/>
        <tr r="C382" s="9"/>
        <tr r="C403" s="9"/>
        <tr r="B426" s="9"/>
        <tr r="C454" s="9"/>
        <tr r="C482" s="9"/>
        <tr r="C511" s="9"/>
        <tr r="B70" s="9"/>
        <tr r="B86" s="9"/>
        <tr r="B102" s="9"/>
        <tr r="B118" s="9"/>
        <tr r="B134" s="9"/>
        <tr r="B150" s="9"/>
        <tr r="B166" s="9"/>
        <tr r="B182" s="9"/>
        <tr r="B198" s="9"/>
        <tr r="B214" s="9"/>
        <tr r="B230" s="9"/>
        <tr r="B246" s="9"/>
        <tr r="B262" s="9"/>
        <tr r="B278" s="9"/>
        <tr r="B294" s="9"/>
        <tr r="B310" s="9"/>
        <tr r="B326" s="9"/>
        <tr r="B342" s="9"/>
        <tr r="B358" s="9"/>
        <tr r="B374" s="9"/>
        <tr r="B390" s="9"/>
        <tr r="B406" s="9"/>
        <tr r="B422" s="9"/>
        <tr r="C443" s="9"/>
        <tr r="C464" s="9"/>
        <tr r="B486" s="9"/>
        <tr r="C507" s="9"/>
        <tr r="B423" s="9"/>
        <tr r="B439" s="9"/>
        <tr r="B455" s="9"/>
        <tr r="B471" s="9"/>
        <tr r="B487" s="9"/>
        <tr r="B503" s="9"/>
        <tr r="B519" s="9"/>
        <tr r="C519" s="9"/>
        <tr r="O14" s="15"/>
        <tr r="H14" s="15"/>
        <tr r="E17" s="15"/>
        <tr r="E14" s="15"/>
        <tr r="E4" s="15"/>
        <tr r="B53" s="9"/>
        <tr r="C92" s="9"/>
        <tr r="B135" s="9"/>
        <tr r="C177" s="9"/>
        <tr r="C220" s="9"/>
        <tr r="B263" s="9"/>
        <tr r="C305" s="9"/>
        <tr r="C348" s="9"/>
        <tr r="B391" s="9"/>
        <tr r="C490" s="9"/>
        <tr r="B397" s="9"/>
        <tr r="C418" s="9"/>
        <tr r="C445" s="9"/>
        <tr r="B474" s="9"/>
        <tr r="C502" s="9"/>
        <tr r="E32" s="9"/>
        <tr r="E405" s="9"/>
        <tr r="B16" s="9"/>
        <tr r="B32" s="9"/>
        <tr r="B48" s="9"/>
        <tr r="C64" s="9"/>
        <tr r="C85" s="9"/>
        <tr r="B107" s="9"/>
        <tr r="C128" s="9"/>
        <tr r="C149" s="9"/>
        <tr r="B171" s="9"/>
        <tr r="C192" s="9"/>
        <tr r="C213" s="9"/>
        <tr r="B235" s="9"/>
        <tr r="C256" s="9"/>
        <tr r="C277" s="9"/>
        <tr r="B299" s="9"/>
        <tr r="C320" s="9"/>
        <tr r="C341" s="9"/>
        <tr r="B363" s="9"/>
        <tr r="C384" s="9"/>
        <tr r="C405" s="9"/>
        <tr r="E428" s="9"/>
        <tr r="C428" s="9"/>
        <tr r="C457" s="9"/>
        <tr r="E485" s="9"/>
        <tr r="C485" s="9"/>
        <tr r="B514" s="9"/>
        <tr r="C16" s="9"/>
        <tr r="C32" s="9"/>
        <tr r="C48" s="9"/>
        <tr r="B65" s="9"/>
        <tr r="E86" s="9"/>
        <tr r="C86" s="9"/>
        <tr r="C107" s="9"/>
        <tr r="B129" s="9"/>
        <tr r="C150" s="9"/>
        <tr r="C171" s="9"/>
        <tr r="B193" s="9"/>
        <tr r="C214" s="9"/>
        <tr r="C235" s="9"/>
        <tr r="B257" s="9"/>
        <tr r="C278" s="9"/>
        <tr r="C299" s="9"/>
        <tr r="B321" s="9"/>
        <tr r="C342" s="9"/>
        <tr r="C363" s="9"/>
        <tr r="B385" s="9"/>
        <tr r="C406" s="9"/>
        <tr r="C429" s="9"/>
        <tr r="B458" s="9"/>
        <tr r="C486" s="9"/>
        <tr r="C514" s="9"/>
        <tr r="B72" s="9"/>
        <tr r="B88" s="9"/>
        <tr r="B104" s="9"/>
        <tr r="B120" s="9"/>
        <tr r="B136" s="9"/>
        <tr r="B152" s="9"/>
        <tr r="B168" s="9"/>
        <tr r="B184" s="9"/>
        <tr r="B200" s="9"/>
        <tr r="B216" s="9"/>
        <tr r="B232" s="9"/>
        <tr r="B248" s="9"/>
        <tr r="B264" s="9"/>
        <tr r="B280" s="9"/>
        <tr r="B296" s="9"/>
        <tr r="B312" s="9"/>
        <tr r="B328" s="9"/>
        <tr r="B344" s="9"/>
        <tr r="B360" s="9"/>
        <tr r="B376" s="9"/>
        <tr r="B392" s="9"/>
        <tr r="B408" s="9"/>
        <tr r="C424" s="9"/>
        <tr r="B446" s="9"/>
        <tr r="C467" s="9"/>
        <tr r="C488" s="9"/>
        <tr r="B510" s="9"/>
        <tr r="B425" s="9"/>
        <tr r="B441" s="9"/>
        <tr r="B457" s="9"/>
        <tr r="B473" s="9"/>
        <tr r="B489" s="9"/>
        <tr r="B505" s="9"/>
        <tr r="B521" s="9"/>
        <tr r="C521" s="9"/>
        <tr r="L14" s="15"/>
        <tr r="F14" s="15"/>
        <tr r="I14" s="15"/>
        <tr r="F4" s="15"/>
        <tr r="I4" s="15"/>
        <tr r="B303" s="9"/>
        <tr r="C345" s="9"/>
        <tr r="C388" s="9"/>
        <tr r="B484" s="9"/>
        <tr r="E468" s="9"/>
        <tr r="C35" s="9"/>
        <tr r="B69" s="9"/>
        <tr r="C111" s="9"/>
        <tr r="C154" s="9"/>
        <tr r="B197" s="9"/>
        <tr r="C239" s="9"/>
        <tr r="C282" s="9"/>
        <tr r="B325" s="9"/>
        <tr r="C367" s="9"/>
        <tr r="C430" s="9"/>
        <tr r="B25" s="9"/>
        <tr r="B57" s="9"/>
        <tr r="C97" s="9"/>
        <tr r="C140" s="9"/>
        <tr r="B183" s="9"/>
        <tr r="C225" s="9"/>
        <tr r="C268" s="9"/>
        <tr r="B311" s="9"/>
        <tr r="C353" s="9"/>
        <tr r="B399" s="9"/>
        <tr r="C505" s="9"/>
        <tr r="C399" s="9"/>
        <tr r="B421" s="9"/>
        <tr r="C449" s="9"/>
        <tr r="C477" s="9"/>
        <tr r="B506" s="9"/>
        <tr r="B18" s="9"/>
        <tr r="B34" s="9"/>
        <tr r="B50" s="9"/>
        <tr r="B67" s="9"/>
        <tr r="C88" s="9"/>
        <tr r="C109" s="9"/>
        <tr r="B131" s="9"/>
        <tr r="C152" s="9"/>
        <tr r="C173" s="9"/>
        <tr r="B195" s="9"/>
        <tr r="C216" s="9"/>
        <tr r="C237" s="9"/>
        <tr r="B259" s="9"/>
        <tr r="C280" s="9"/>
        <tr r="C301" s="9"/>
        <tr r="B323" s="9"/>
        <tr r="C344" s="9"/>
        <tr r="C365" s="9"/>
        <tr r="B387" s="9"/>
        <tr r="C408" s="9"/>
        <tr r="B432" s="9"/>
        <tr r="C460" s="9"/>
        <tr r="C489" s="9"/>
        <tr r="B518" s="9"/>
        <tr r="C18" s="9"/>
        <tr r="C34" s="9"/>
        <tr r="C50" s="9"/>
        <tr r="C67" s="9"/>
        <tr r="B89" s="9"/>
        <tr r="C110" s="9"/>
        <tr r="C131" s="9"/>
        <tr r="B153" s="9"/>
        <tr r="C174" s="9"/>
        <tr r="C195" s="9"/>
        <tr r="B217" s="9"/>
        <tr r="C238" s="9"/>
        <tr r="C259" s="9"/>
        <tr r="B281" s="9"/>
        <tr r="C302" s="9"/>
        <tr r="C323" s="9"/>
        <tr r="B345" s="9"/>
        <tr r="C366" s="9"/>
        <tr r="C387" s="9"/>
        <tr r="B409" s="9"/>
        <tr r="C433" s="9"/>
        <tr r="C461" s="9"/>
        <tr r="B490" s="9"/>
        <tr r="B520" s="9"/>
        <tr r="B74" s="9"/>
        <tr r="B90" s="9"/>
        <tr r="B106" s="9"/>
        <tr r="B122" s="9"/>
        <tr r="B138" s="9"/>
        <tr r="B154" s="9"/>
        <tr r="B170" s="9"/>
        <tr r="B186" s="9"/>
        <tr r="B202" s="9"/>
        <tr r="B218" s="9"/>
        <tr r="B234" s="9"/>
        <tr r="B250" s="9"/>
        <tr r="B266" s="9"/>
        <tr r="B282" s="9"/>
        <tr r="B298" s="9"/>
        <tr r="B314" s="9"/>
        <tr r="B330" s="9"/>
        <tr r="B346" s="9"/>
        <tr r="B362" s="9"/>
        <tr r="B378" s="9"/>
        <tr r="B394" s="9"/>
        <tr r="B410" s="9"/>
        <tr r="C427" s="9"/>
        <tr r="C448" s="9"/>
        <tr r="B470" s="9"/>
        <tr r="C491" s="9"/>
        <tr r="C512" s="9"/>
        <tr r="B427" s="9"/>
        <tr r="B443" s="9"/>
        <tr r="B459" s="9"/>
        <tr r="B475" s="9"/>
        <tr r="B491" s="9"/>
        <tr r="B507" s="9"/>
        <tr r="B523" s="9"/>
        <tr r="C523" s="9"/>
        <tr r="M17" s="15"/>
        <tr r="B17" s="15"/>
        <tr r="J14" s="15"/>
        <tr r="M14" s="15"/>
        <tr r="B9" s="15"/>
        <tr r="M4" s="15"/>
        <tr r="C308" s="9"/>
        <tr r="B351" s="9"/>
        <tr r="C393" s="9"/>
        <tr r="B498" s="9"/>
        <tr r="C7" s="9"/>
        <tr r="C39" s="9"/>
        <tr r="C74" s="9"/>
        <tr r="B117" s="9"/>
        <tr r="C159" s="9"/>
        <tr r="C202" s="9"/>
        <tr r="B245" s="9"/>
        <tr r="C287" s="9"/>
        <tr r="C330" s="9"/>
        <tr r="B373" s="9"/>
        <tr r="C444" s="9"/>
        <tr r="E316" s="9"/>
        <tr r="B29" s="9"/>
        <tr r="B61" s="9"/>
        <tr r="B103" s="9"/>
        <tr r="C145" s="9"/>
        <tr r="C188" s="9"/>
        <tr r="B231" s="9"/>
        <tr r="C273" s="9"/>
        <tr r="C316" s="9"/>
        <tr r="B359" s="9"/>
        <tr r="C409" s="9"/>
        <tr r="C520" s="9"/>
        <tr r="C402" s="9"/>
        <tr r="B424" s="9"/>
        <tr r="C452" s="9"/>
        <tr r="C481" s="9"/>
        <tr r="C509" s="9"/>
        <tr r="E492" s="9"/>
        <tr r="B20" s="9"/>
        <tr r="B36" s="9"/>
        <tr r="B52" s="9"/>
        <tr r="C69" s="9"/>
        <tr r="B91" s="9"/>
        <tr r="C112" s="9"/>
        <tr r="C133" s="9"/>
        <tr r="B155" s="9"/>
        <tr r="C176" s="9"/>
        <tr r="C197" s="9"/>
        <tr r="B219" s="9"/>
        <tr r="C240" s="9"/>
        <tr r="C261" s="9"/>
        <tr r="B283" s="9"/>
        <tr r="C304" s="9"/>
        <tr r="C325" s="9"/>
        <tr r="B347" s="9"/>
        <tr r="C368" s="9"/>
        <tr r="C389" s="9"/>
        <tr r="B411" s="9"/>
        <tr r="B436" s="9"/>
        <tr r="B464" s="9"/>
        <tr r="C492" s="9"/>
        <tr r="B524" s="9"/>
        <tr r="E4" s="9"/>
        <tr r="C20" s="9"/>
        <tr r="C36" s="9"/>
        <tr r="C52" s="9"/>
        <tr r="C70" s="9"/>
        <tr r="C91" s="9"/>
        <tr r="B113" s="9"/>
        <tr r="C134" s="9"/>
        <tr r="C155" s="9"/>
        <tr r="B177" s="9"/>
        <tr r="C198" s="9"/>
        <tr r="C219" s="9"/>
        <tr r="B241" s="9"/>
        <tr r="C262" s="9"/>
        <tr r="C283" s="9"/>
        <tr r="B305" s="9"/>
        <tr r="C326" s="9"/>
        <tr r="C347" s="9"/>
        <tr r="B369" s="9"/>
        <tr r="C390" s="9"/>
        <tr r="C411" s="9"/>
        <tr r="C436" s="9"/>
        <tr r="C465" s="9"/>
        <tr r="C493" s="9"/>
        <tr r="C524" s="9"/>
        <tr r="B76" s="9"/>
        <tr r="B92" s="9"/>
        <tr r="B108" s="9"/>
        <tr r="B124" s="9"/>
        <tr r="B140" s="9"/>
        <tr r="B156" s="9"/>
        <tr r="B172" s="9"/>
        <tr r="B188" s="9"/>
        <tr r="B204" s="9"/>
        <tr r="B220" s="9"/>
        <tr r="B236" s="9"/>
        <tr r="B252" s="9"/>
        <tr r="B268" s="9"/>
        <tr r="B284" s="9"/>
        <tr r="B300" s="9"/>
        <tr r="B316" s="9"/>
        <tr r="B332" s="9"/>
        <tr r="B348" s="9"/>
        <tr r="B364" s="9"/>
        <tr r="B380" s="9"/>
        <tr r="B396" s="9"/>
        <tr r="B412" s="9"/>
        <tr r="B430" s="9"/>
        <tr r="C451" s="9"/>
        <tr r="C472" s="9"/>
        <tr r="B494" s="9"/>
        <tr r="C515" s="9"/>
        <tr r="B429" s="9"/>
        <tr r="B445" s="9"/>
        <tr r="B461" s="9"/>
        <tr r="B477" s="9"/>
        <tr r="B493" s="9"/>
        <tr r="B509" s="9"/>
        <tr r="B525" s="9"/>
        <tr r="C525" s="9"/>
        <tr r="B19" s="15"/>
        <tr r="N14" s="15"/>
        <tr r="B16" s="15"/>
        <tr r="D4" s="15"/>
        <tr r="B7" s="15"/>
        <tr r="B271" s="9"/>
        <tr r="C313" s="9"/>
        <tr r="C356" s="9"/>
        <tr r="C404" s="9"/>
        <tr r="B512" s="9"/>
        <tr r="C11" s="9"/>
        <tr r="C43" s="9"/>
        <tr r="C79" s="9"/>
        <tr r="C122" s="9"/>
        <tr r="B165" s="9"/>
        <tr r="C207" s="9"/>
        <tr r="C250" s="9"/>
        <tr r="B293" s="9"/>
        <tr r="C335" s="9"/>
        <tr r="C378" s="9"/>
        <tr r="C458" s="9"/>
        <tr r="B33" s="9"/>
        <tr r="C65" s="9"/>
        <tr r="C108" s="9"/>
        <tr r="B151" s="9"/>
        <tr r="C193" s="9"/>
        <tr r="C236" s="9"/>
        <tr r="B279" s="9"/>
        <tr r="C321" s="9"/>
        <tr r="C364" s="9"/>
        <tr r="C420" s="9"/>
        <tr r="B405" s="9"/>
        <tr r="B428" s="9"/>
        <tr r="B456" s="9"/>
        <tr r="C484" s="9"/>
        <tr r="C513" s="9"/>
        <tr r="B6" s="9"/>
        <tr r="B22" s="9"/>
        <tr r="B38" s="9"/>
        <tr r="B54" s="9"/>
        <tr r="C72" s="9"/>
        <tr r="C93" s="9"/>
        <tr r="B115" s="9"/>
        <tr r="C136" s="9"/>
        <tr r="C157" s="9"/>
        <tr r="B179" s="9"/>
        <tr r="C200" s="9"/>
        <tr r="C221" s="9"/>
        <tr r="B243" s="9"/>
        <tr r="C264" s="9"/>
        <tr r="C285" s="9"/>
        <tr r="B307" s="9"/>
        <tr r="C328" s="9"/>
        <tr r="C349" s="9"/>
        <tr r="B371" s="9"/>
        <tr r="C392" s="9"/>
        <tr r="C413" s="9"/>
        <tr r="C439" s="9"/>
        <tr r="B468" s="9"/>
        <tr r="B496" s="9"/>
        <tr r="C528" s="9"/>
        <tr r="C6" s="9"/>
        <tr r="C22" s="9"/>
        <tr r="C38" s="9"/>
        <tr r="C54" s="9"/>
        <tr r="B73" s="9"/>
        <tr r="C94" s="9"/>
        <tr r="C115" s="9"/>
        <tr r="B137" s="9"/>
        <tr r="C158" s="9"/>
        <tr r="C179" s="9"/>
        <tr r="B201" s="9"/>
        <tr r="C222" s="9"/>
        <tr r="C243" s="9"/>
        <tr r="B265" s="9"/>
        <tr r="C286" s="9"/>
        <tr r="C307" s="9"/>
        <tr r="B329" s="9"/>
        <tr r="C350" s="9"/>
        <tr r="C371" s="9"/>
        <tr r="B393" s="9"/>
        <tr r="C414" s="9"/>
        <tr r="B440" s="9"/>
        <tr r="C468" s="9"/>
        <tr r="C497" s="9"/>
        <tr r="B530" s="9"/>
        <tr r="B78" s="9"/>
        <tr r="B94" s="9"/>
        <tr r="B110" s="9"/>
        <tr r="B126" s="9"/>
        <tr r="B142" s="9"/>
        <tr r="B158" s="9"/>
        <tr r="B174" s="9"/>
        <tr r="B190" s="9"/>
        <tr r="B206" s="9"/>
        <tr r="B222" s="9"/>
        <tr r="B238" s="9"/>
        <tr r="B254" s="9"/>
        <tr r="B270" s="9"/>
        <tr r="B286" s="9"/>
        <tr r="B302" s="9"/>
        <tr r="B318" s="9"/>
        <tr r="B334" s="9"/>
        <tr r="B350" s="9"/>
        <tr r="B366" s="9"/>
        <tr r="B382" s="9"/>
        <tr r="B398" s="9"/>
        <tr r="B414" s="9"/>
        <tr r="C432" s="9"/>
        <tr r="B454" s="9"/>
        <tr r="C475" s="9"/>
        <tr r="C496" s="9"/>
        <tr r="C518" s="9"/>
        <tr r="B431" s="9"/>
        <tr r="B447" s="9"/>
        <tr r="B463" s="9"/>
        <tr r="B479" s="9"/>
        <tr r="B495" s="9"/>
        <tr r="B511" s="9"/>
        <tr r="B527" s="9"/>
        <tr r="C527" s="9"/>
        <tr r="B18" s="15"/>
        <tr r="J4" s="15"/>
        <tr r="C4" s="15"/>
        <tr r="H4" s="15"/>
        <tr r="B13" s="15"/>
        <tr r="G119" s="8"/>
        <tr r="J119" s="8"/>
        <tr r="M119" s="8"/>
        <tr r="K119" s="8"/>
        <tr r="B6" s="15"/>
        <tr r="N119" s="8"/>
        <tr r="B127" s="8"/>
        <tr r="E119" s="8"/>
        <tr r="D119" s="8"/>
        <tr r="I119" s="8"/>
        <tr r="L119" s="8"/>
        <tr r="C119" s="8"/>
        <tr r="F119" s="8"/>
        <tr r="O4" s="15"/>
        <tr r="H119" s="8"/>
      </tp>
    </main>
  </volType>
</volType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pivotCacheDefinition" Target="pivotCache/pivotCacheDefinition3.xml"/><Relationship Id="rId18" Type="http://schemas.openxmlformats.org/officeDocument/2006/relationships/sheetMetadata" Target="metadata.xml"/><Relationship Id="rId26" Type="http://schemas.openxmlformats.org/officeDocument/2006/relationships/customXml" Target="../customXml/item6.xml"/><Relationship Id="rId21" Type="http://schemas.openxmlformats.org/officeDocument/2006/relationships/customXml" Target="../customXml/item1.xml"/><Relationship Id="rId34" Type="http://schemas.openxmlformats.org/officeDocument/2006/relationships/customXml" Target="../customXml/item14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17" Type="http://schemas.openxmlformats.org/officeDocument/2006/relationships/sharedStrings" Target="sharedStrings.xml"/><Relationship Id="rId25" Type="http://schemas.openxmlformats.org/officeDocument/2006/relationships/customXml" Target="../customXml/item5.xml"/><Relationship Id="rId33" Type="http://schemas.openxmlformats.org/officeDocument/2006/relationships/customXml" Target="../customXml/item1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alcChain" Target="calcChain.xml"/><Relationship Id="rId29" Type="http://schemas.openxmlformats.org/officeDocument/2006/relationships/customXml" Target="../customXml/item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24" Type="http://schemas.openxmlformats.org/officeDocument/2006/relationships/customXml" Target="../customXml/item4.xml"/><Relationship Id="rId32" Type="http://schemas.openxmlformats.org/officeDocument/2006/relationships/customXml" Target="../customXml/item12.xml"/><Relationship Id="rId37" Type="http://schemas.openxmlformats.org/officeDocument/2006/relationships/volatileDependencies" Target="volatileDependencies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3.xml"/><Relationship Id="rId28" Type="http://schemas.openxmlformats.org/officeDocument/2006/relationships/customXml" Target="../customXml/item8.xml"/><Relationship Id="rId36" Type="http://schemas.openxmlformats.org/officeDocument/2006/relationships/customXml" Target="../customXml/item16.xml"/><Relationship Id="rId10" Type="http://schemas.openxmlformats.org/officeDocument/2006/relationships/worksheet" Target="worksheets/sheet10.xml"/><Relationship Id="rId19" Type="http://schemas.openxmlformats.org/officeDocument/2006/relationships/powerPivotData" Target="model/item.data"/><Relationship Id="rId31" Type="http://schemas.openxmlformats.org/officeDocument/2006/relationships/customXml" Target="../customXml/item1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2.xml"/><Relationship Id="rId27" Type="http://schemas.openxmlformats.org/officeDocument/2006/relationships/customXml" Target="../customXml/item7.xml"/><Relationship Id="rId30" Type="http://schemas.openxmlformats.org/officeDocument/2006/relationships/customXml" Target="../customXml/item10.xml"/><Relationship Id="rId35" Type="http://schemas.openxmlformats.org/officeDocument/2006/relationships/customXml" Target="../customXml/item1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ACV by Client Size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Graphs!$B$120</c:f>
              <c:strCache>
                <c:ptCount val="1"/>
                <c:pt idx="0">
                  <c:v>Small (&lt;5k)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Graphs!$C$119:$N$119</c:f>
              <c:strCache>
                <c:ptCount val="12"/>
                <c:pt idx="0">
                  <c:v>7/1/2018</c:v>
                </c:pt>
                <c:pt idx="1">
                  <c:v>8/1/2018</c:v>
                </c:pt>
                <c:pt idx="2">
                  <c:v>9/1/2018</c:v>
                </c:pt>
                <c:pt idx="3">
                  <c:v>10/1/2018</c:v>
                </c:pt>
                <c:pt idx="4">
                  <c:v>11/1/2018</c:v>
                </c:pt>
                <c:pt idx="5">
                  <c:v>12/1/2018</c:v>
                </c:pt>
                <c:pt idx="6">
                  <c:v>1/1/2019</c:v>
                </c:pt>
                <c:pt idx="7">
                  <c:v>2/1/2019</c:v>
                </c:pt>
                <c:pt idx="8">
                  <c:v>3/1/2019</c:v>
                </c:pt>
                <c:pt idx="9">
                  <c:v>4/1/2019</c:v>
                </c:pt>
                <c:pt idx="10">
                  <c:v>5/1/2019</c:v>
                </c:pt>
                <c:pt idx="11">
                  <c:v>6/1/2019</c:v>
                </c:pt>
              </c:strCache>
            </c:strRef>
          </c:cat>
          <c:val>
            <c:numRef>
              <c:f>Graphs!$C$120:$N$120</c:f>
              <c:numCache>
                <c:formatCode>_(* #,##0_);_(* \(#,##0\);_(* "-"??_);_(@_)</c:formatCode>
                <c:ptCount val="12"/>
                <c:pt idx="0">
                  <c:v>54739.08</c:v>
                </c:pt>
                <c:pt idx="1">
                  <c:v>96540.6</c:v>
                </c:pt>
                <c:pt idx="2">
                  <c:v>65843.399999999994</c:v>
                </c:pt>
                <c:pt idx="3">
                  <c:v>61092.536</c:v>
                </c:pt>
                <c:pt idx="4">
                  <c:v>33601.3632</c:v>
                </c:pt>
                <c:pt idx="5">
                  <c:v>58497.57</c:v>
                </c:pt>
                <c:pt idx="6">
                  <c:v>48191.426999999996</c:v>
                </c:pt>
                <c:pt idx="7">
                  <c:v>45393.047519999993</c:v>
                </c:pt>
                <c:pt idx="8">
                  <c:v>87465.583200000008</c:v>
                </c:pt>
                <c:pt idx="9">
                  <c:v>59802.038399999998</c:v>
                </c:pt>
                <c:pt idx="10">
                  <c:v>34546.800000000003</c:v>
                </c:pt>
                <c:pt idx="11">
                  <c:v>61989.203135999996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99-467A-ACE2-3A139E8426A0}"/>
            </c:ext>
          </c:extLst>
        </c:ser>
        <c:ser>
          <c:idx val="1"/>
          <c:order val="1"/>
          <c:tx>
            <c:strRef>
              <c:f>Graphs!$B$121</c:f>
              <c:strCache>
                <c:ptCount val="1"/>
                <c:pt idx="0">
                  <c:v>Medium (&lt;10k)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Graphs!$C$119:$N$119</c:f>
              <c:strCache>
                <c:ptCount val="12"/>
                <c:pt idx="0">
                  <c:v>7/1/2018</c:v>
                </c:pt>
                <c:pt idx="1">
                  <c:v>8/1/2018</c:v>
                </c:pt>
                <c:pt idx="2">
                  <c:v>9/1/2018</c:v>
                </c:pt>
                <c:pt idx="3">
                  <c:v>10/1/2018</c:v>
                </c:pt>
                <c:pt idx="4">
                  <c:v>11/1/2018</c:v>
                </c:pt>
                <c:pt idx="5">
                  <c:v>12/1/2018</c:v>
                </c:pt>
                <c:pt idx="6">
                  <c:v>1/1/2019</c:v>
                </c:pt>
                <c:pt idx="7">
                  <c:v>2/1/2019</c:v>
                </c:pt>
                <c:pt idx="8">
                  <c:v>3/1/2019</c:v>
                </c:pt>
                <c:pt idx="9">
                  <c:v>4/1/2019</c:v>
                </c:pt>
                <c:pt idx="10">
                  <c:v>5/1/2019</c:v>
                </c:pt>
                <c:pt idx="11">
                  <c:v>6/1/2019</c:v>
                </c:pt>
              </c:strCache>
            </c:strRef>
          </c:cat>
          <c:val>
            <c:numRef>
              <c:f>Graphs!$C$121:$N$121</c:f>
              <c:numCache>
                <c:formatCode>_(* #,##0_);_(* \(#,##0\);_(* "-"??_);_(@_)</c:formatCode>
                <c:ptCount val="12"/>
                <c:pt idx="0">
                  <c:v>55556.800000000003</c:v>
                </c:pt>
                <c:pt idx="1">
                  <c:v>58119.380735999999</c:v>
                </c:pt>
                <c:pt idx="2">
                  <c:v>69700.761839999992</c:v>
                </c:pt>
                <c:pt idx="3">
                  <c:v>135174.96360000002</c:v>
                </c:pt>
                <c:pt idx="4">
                  <c:v>88554.241199999989</c:v>
                </c:pt>
                <c:pt idx="5">
                  <c:v>107300.7444</c:v>
                </c:pt>
                <c:pt idx="6">
                  <c:v>68686.573600000003</c:v>
                </c:pt>
                <c:pt idx="7">
                  <c:v>78234.095759999997</c:v>
                </c:pt>
                <c:pt idx="8">
                  <c:v>75945.239999999991</c:v>
                </c:pt>
                <c:pt idx="9">
                  <c:v>137688.62</c:v>
                </c:pt>
                <c:pt idx="10">
                  <c:v>130064.37039999999</c:v>
                </c:pt>
                <c:pt idx="11">
                  <c:v>78206.924495999992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99-467A-ACE2-3A139E8426A0}"/>
            </c:ext>
          </c:extLst>
        </c:ser>
        <c:ser>
          <c:idx val="2"/>
          <c:order val="2"/>
          <c:tx>
            <c:strRef>
              <c:f>Graphs!$B$122</c:f>
              <c:strCache>
                <c:ptCount val="1"/>
                <c:pt idx="0">
                  <c:v>Large (&lt;20k)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Graphs!$C$119:$N$119</c:f>
              <c:strCache>
                <c:ptCount val="12"/>
                <c:pt idx="0">
                  <c:v>7/1/2018</c:v>
                </c:pt>
                <c:pt idx="1">
                  <c:v>8/1/2018</c:v>
                </c:pt>
                <c:pt idx="2">
                  <c:v>9/1/2018</c:v>
                </c:pt>
                <c:pt idx="3">
                  <c:v>10/1/2018</c:v>
                </c:pt>
                <c:pt idx="4">
                  <c:v>11/1/2018</c:v>
                </c:pt>
                <c:pt idx="5">
                  <c:v>12/1/2018</c:v>
                </c:pt>
                <c:pt idx="6">
                  <c:v>1/1/2019</c:v>
                </c:pt>
                <c:pt idx="7">
                  <c:v>2/1/2019</c:v>
                </c:pt>
                <c:pt idx="8">
                  <c:v>3/1/2019</c:v>
                </c:pt>
                <c:pt idx="9">
                  <c:v>4/1/2019</c:v>
                </c:pt>
                <c:pt idx="10">
                  <c:v>5/1/2019</c:v>
                </c:pt>
                <c:pt idx="11">
                  <c:v>6/1/2019</c:v>
                </c:pt>
              </c:strCache>
            </c:strRef>
          </c:cat>
          <c:val>
            <c:numRef>
              <c:f>Graphs!$C$122:$N$122</c:f>
              <c:numCache>
                <c:formatCode>_(* #,##0_);_(* \(#,##0\);_(* "-"??_);_(@_)</c:formatCode>
                <c:ptCount val="12"/>
                <c:pt idx="0">
                  <c:v>83620.478399999993</c:v>
                </c:pt>
                <c:pt idx="1">
                  <c:v>12408</c:v>
                </c:pt>
                <c:pt idx="2">
                  <c:v>45334.8</c:v>
                </c:pt>
                <c:pt idx="3">
                  <c:v>71100</c:v>
                </c:pt>
                <c:pt idx="4">
                  <c:v>165160.26</c:v>
                </c:pt>
                <c:pt idx="5">
                  <c:v>148238.55839999998</c:v>
                </c:pt>
                <c:pt idx="6">
                  <c:v>98167.12</c:v>
                </c:pt>
                <c:pt idx="7">
                  <c:v>37060</c:v>
                </c:pt>
                <c:pt idx="8">
                  <c:v>127809.60000000001</c:v>
                </c:pt>
                <c:pt idx="9">
                  <c:v>98666.176000000007</c:v>
                </c:pt>
                <c:pt idx="10">
                  <c:v>105613.04000000001</c:v>
                </c:pt>
                <c:pt idx="11">
                  <c:v>78684.87999999999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99-467A-ACE2-3A139E8426A0}"/>
            </c:ext>
          </c:extLst>
        </c:ser>
        <c:ser>
          <c:idx val="3"/>
          <c:order val="3"/>
          <c:tx>
            <c:strRef>
              <c:f>Graphs!$B$123</c:f>
              <c:strCache>
                <c:ptCount val="1"/>
                <c:pt idx="0">
                  <c:v>Mega (20k+)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Graphs!$C$119:$N$119</c:f>
              <c:strCache>
                <c:ptCount val="12"/>
                <c:pt idx="0">
                  <c:v>7/1/2018</c:v>
                </c:pt>
                <c:pt idx="1">
                  <c:v>8/1/2018</c:v>
                </c:pt>
                <c:pt idx="2">
                  <c:v>9/1/2018</c:v>
                </c:pt>
                <c:pt idx="3">
                  <c:v>10/1/2018</c:v>
                </c:pt>
                <c:pt idx="4">
                  <c:v>11/1/2018</c:v>
                </c:pt>
                <c:pt idx="5">
                  <c:v>12/1/2018</c:v>
                </c:pt>
                <c:pt idx="6">
                  <c:v>1/1/2019</c:v>
                </c:pt>
                <c:pt idx="7">
                  <c:v>2/1/2019</c:v>
                </c:pt>
                <c:pt idx="8">
                  <c:v>3/1/2019</c:v>
                </c:pt>
                <c:pt idx="9">
                  <c:v>4/1/2019</c:v>
                </c:pt>
                <c:pt idx="10">
                  <c:v>5/1/2019</c:v>
                </c:pt>
                <c:pt idx="11">
                  <c:v>6/1/2019</c:v>
                </c:pt>
              </c:strCache>
            </c:strRef>
          </c:cat>
          <c:val>
            <c:numRef>
              <c:f>Graphs!$C$123:$N$123</c:f>
              <c:numCache>
                <c:formatCode>_(* #,##0_);_(* \(#,##0\);_(* "-"??_);_(@_)</c:formatCode>
                <c:ptCount val="12"/>
                <c:pt idx="0">
                  <c:v>20000</c:v>
                </c:pt>
                <c:pt idx="1">
                  <c:v>28005.120000000003</c:v>
                </c:pt>
                <c:pt idx="2">
                  <c:v>0</c:v>
                </c:pt>
                <c:pt idx="3">
                  <c:v>69300.000000000015</c:v>
                </c:pt>
                <c:pt idx="4">
                  <c:v>0</c:v>
                </c:pt>
                <c:pt idx="5">
                  <c:v>61080</c:v>
                </c:pt>
                <c:pt idx="6">
                  <c:v>104760.72000000002</c:v>
                </c:pt>
                <c:pt idx="7">
                  <c:v>70974.748800000001</c:v>
                </c:pt>
                <c:pt idx="8">
                  <c:v>119442.72</c:v>
                </c:pt>
                <c:pt idx="9">
                  <c:v>0</c:v>
                </c:pt>
                <c:pt idx="10">
                  <c:v>40824</c:v>
                </c:pt>
                <c:pt idx="11">
                  <c:v>24010.800000000003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99-467A-ACE2-3A139E842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24751376"/>
        <c:axId val="1557941040"/>
      </c:barChart>
      <c:lineChart>
        <c:grouping val="standard"/>
        <c:varyColors val="0"/>
        <c:ser>
          <c:idx val="4"/>
          <c:order val="4"/>
          <c:tx>
            <c:strRef>
              <c:f>Graphs!$B$124</c:f>
              <c:strCache>
                <c:ptCount val="1"/>
                <c:pt idx="0">
                  <c:v>Total ACV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Graphs!$C$119:$N$119</c:f>
              <c:strCache>
                <c:ptCount val="12"/>
                <c:pt idx="0">
                  <c:v>7/1/2018</c:v>
                </c:pt>
                <c:pt idx="1">
                  <c:v>8/1/2018</c:v>
                </c:pt>
                <c:pt idx="2">
                  <c:v>9/1/2018</c:v>
                </c:pt>
                <c:pt idx="3">
                  <c:v>10/1/2018</c:v>
                </c:pt>
                <c:pt idx="4">
                  <c:v>11/1/2018</c:v>
                </c:pt>
                <c:pt idx="5">
                  <c:v>12/1/2018</c:v>
                </c:pt>
                <c:pt idx="6">
                  <c:v>1/1/2019</c:v>
                </c:pt>
                <c:pt idx="7">
                  <c:v>2/1/2019</c:v>
                </c:pt>
                <c:pt idx="8">
                  <c:v>3/1/2019</c:v>
                </c:pt>
                <c:pt idx="9">
                  <c:v>4/1/2019</c:v>
                </c:pt>
                <c:pt idx="10">
                  <c:v>5/1/2019</c:v>
                </c:pt>
                <c:pt idx="11">
                  <c:v>6/1/2019</c:v>
                </c:pt>
              </c:strCache>
            </c:strRef>
          </c:cat>
          <c:val>
            <c:numRef>
              <c:f>Graphs!$C$124:$N$124</c:f>
              <c:numCache>
                <c:formatCode>_(* #,##0_);_(* \(#,##0\);_(* "-"??_);_(@_)</c:formatCode>
                <c:ptCount val="12"/>
                <c:pt idx="0">
                  <c:v>213916.3584</c:v>
                </c:pt>
                <c:pt idx="1">
                  <c:v>195073.10073599999</c:v>
                </c:pt>
                <c:pt idx="2">
                  <c:v>180878.96184000003</c:v>
                </c:pt>
                <c:pt idx="3">
                  <c:v>336667.49959999998</c:v>
                </c:pt>
                <c:pt idx="4">
                  <c:v>287315.86439999996</c:v>
                </c:pt>
                <c:pt idx="5">
                  <c:v>375116.87280000001</c:v>
                </c:pt>
                <c:pt idx="6">
                  <c:v>319805.84060000005</c:v>
                </c:pt>
                <c:pt idx="7">
                  <c:v>231661.89207999999</c:v>
                </c:pt>
                <c:pt idx="8">
                  <c:v>410663.14320000005</c:v>
                </c:pt>
                <c:pt idx="9">
                  <c:v>296156.83440000005</c:v>
                </c:pt>
                <c:pt idx="10">
                  <c:v>311048.21039999998</c:v>
                </c:pt>
                <c:pt idx="11">
                  <c:v>242891.80763200004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D99-467A-ACE2-3A139E842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8261664"/>
        <c:axId val="1794979952"/>
      </c:lineChart>
      <c:catAx>
        <c:axId val="152475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7941040"/>
        <c:crosses val="autoZero"/>
        <c:auto val="1"/>
        <c:lblAlgn val="ctr"/>
        <c:lblOffset val="100"/>
        <c:noMultiLvlLbl val="0"/>
      </c:catAx>
      <c:valAx>
        <c:axId val="1557941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ACV by Client Size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4751376"/>
        <c:crosses val="autoZero"/>
        <c:crossBetween val="between"/>
      </c:valAx>
      <c:valAx>
        <c:axId val="1794979952"/>
        <c:scaling>
          <c:orientation val="minMax"/>
        </c:scaling>
        <c:delete val="0"/>
        <c:axPos val="r"/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8261664"/>
        <c:crosses val="max"/>
        <c:crossBetween val="between"/>
      </c:valAx>
      <c:catAx>
        <c:axId val="348261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949799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ACV</a:t>
            </a:r>
            <a:r>
              <a:rPr lang="en-US" baseline="0"/>
              <a:t> vs. # of New Clients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Graphs!$B$133</c:f>
              <c:strCache>
                <c:ptCount val="1"/>
                <c:pt idx="0">
                  <c:v>Total ACV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Graphs!$C$132:$N$132</c:f>
              <c:strCache>
                <c:ptCount val="12"/>
                <c:pt idx="0">
                  <c:v>7/1/2018</c:v>
                </c:pt>
                <c:pt idx="1">
                  <c:v>8/1/2018</c:v>
                </c:pt>
                <c:pt idx="2">
                  <c:v>9/1/2018</c:v>
                </c:pt>
                <c:pt idx="3">
                  <c:v>10/1/2018</c:v>
                </c:pt>
                <c:pt idx="4">
                  <c:v>11/1/2018</c:v>
                </c:pt>
                <c:pt idx="5">
                  <c:v>12/1/2018</c:v>
                </c:pt>
                <c:pt idx="6">
                  <c:v>1/1/2019</c:v>
                </c:pt>
                <c:pt idx="7">
                  <c:v>2/1/2019</c:v>
                </c:pt>
                <c:pt idx="8">
                  <c:v>3/1/2019</c:v>
                </c:pt>
                <c:pt idx="9">
                  <c:v>4/1/2019</c:v>
                </c:pt>
                <c:pt idx="10">
                  <c:v>5/1/2019</c:v>
                </c:pt>
                <c:pt idx="11">
                  <c:v>6/1/2019</c:v>
                </c:pt>
              </c:strCache>
            </c:strRef>
          </c:cat>
          <c:val>
            <c:numRef>
              <c:f>Graphs!$C$133:$N$133</c:f>
              <c:numCache>
                <c:formatCode>_(* #,##0_);_(* \(#,##0\);_(* "-"??_);_(@_)</c:formatCode>
                <c:ptCount val="12"/>
                <c:pt idx="0">
                  <c:v>213916.3584</c:v>
                </c:pt>
                <c:pt idx="1">
                  <c:v>195073.10073599999</c:v>
                </c:pt>
                <c:pt idx="2">
                  <c:v>180878.96184000003</c:v>
                </c:pt>
                <c:pt idx="3">
                  <c:v>336667.49959999998</c:v>
                </c:pt>
                <c:pt idx="4">
                  <c:v>287315.86439999996</c:v>
                </c:pt>
                <c:pt idx="5">
                  <c:v>375116.87280000001</c:v>
                </c:pt>
                <c:pt idx="6">
                  <c:v>319805.84060000005</c:v>
                </c:pt>
                <c:pt idx="7">
                  <c:v>231661.89207999999</c:v>
                </c:pt>
                <c:pt idx="8">
                  <c:v>410663.14320000005</c:v>
                </c:pt>
                <c:pt idx="9">
                  <c:v>296156.83440000005</c:v>
                </c:pt>
                <c:pt idx="10">
                  <c:v>311048.21039999998</c:v>
                </c:pt>
                <c:pt idx="11">
                  <c:v>242891.80763200004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7F-435B-AAF5-95546BF5C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1344688"/>
        <c:axId val="1511755232"/>
      </c:lineChart>
      <c:lineChart>
        <c:grouping val="standard"/>
        <c:varyColors val="0"/>
        <c:ser>
          <c:idx val="1"/>
          <c:order val="1"/>
          <c:tx>
            <c:strRef>
              <c:f>Graphs!$B$134</c:f>
              <c:strCache>
                <c:ptCount val="1"/>
                <c:pt idx="0">
                  <c:v># of New Clients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Graphs!$C$132:$N$132</c:f>
              <c:strCache>
                <c:ptCount val="12"/>
                <c:pt idx="0">
                  <c:v>7/1/2018</c:v>
                </c:pt>
                <c:pt idx="1">
                  <c:v>8/1/2018</c:v>
                </c:pt>
                <c:pt idx="2">
                  <c:v>9/1/2018</c:v>
                </c:pt>
                <c:pt idx="3">
                  <c:v>10/1/2018</c:v>
                </c:pt>
                <c:pt idx="4">
                  <c:v>11/1/2018</c:v>
                </c:pt>
                <c:pt idx="5">
                  <c:v>12/1/2018</c:v>
                </c:pt>
                <c:pt idx="6">
                  <c:v>1/1/2019</c:v>
                </c:pt>
                <c:pt idx="7">
                  <c:v>2/1/2019</c:v>
                </c:pt>
                <c:pt idx="8">
                  <c:v>3/1/2019</c:v>
                </c:pt>
                <c:pt idx="9">
                  <c:v>4/1/2019</c:v>
                </c:pt>
                <c:pt idx="10">
                  <c:v>5/1/2019</c:v>
                </c:pt>
                <c:pt idx="11">
                  <c:v>6/1/2019</c:v>
                </c:pt>
              </c:strCache>
            </c:strRef>
          </c:cat>
          <c:val>
            <c:numRef>
              <c:f>Graphs!$C$134:$N$134</c:f>
              <c:numCache>
                <c:formatCode>_(* #,##0_);_(* \(#,##0\);_(* "-"??_);_(@_)</c:formatCode>
                <c:ptCount val="12"/>
                <c:pt idx="0">
                  <c:v>37</c:v>
                </c:pt>
                <c:pt idx="1">
                  <c:v>45</c:v>
                </c:pt>
                <c:pt idx="2">
                  <c:v>41</c:v>
                </c:pt>
                <c:pt idx="3">
                  <c:v>50</c:v>
                </c:pt>
                <c:pt idx="4">
                  <c:v>39</c:v>
                </c:pt>
                <c:pt idx="5">
                  <c:v>50</c:v>
                </c:pt>
                <c:pt idx="6">
                  <c:v>35</c:v>
                </c:pt>
                <c:pt idx="7">
                  <c:v>36</c:v>
                </c:pt>
                <c:pt idx="8">
                  <c:v>57</c:v>
                </c:pt>
                <c:pt idx="9">
                  <c:v>53</c:v>
                </c:pt>
                <c:pt idx="10">
                  <c:v>44</c:v>
                </c:pt>
                <c:pt idx="11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7F-435B-AAF5-95546BF5C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38112"/>
        <c:axId val="1558034592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Graphs!$B$135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Graphs!$C$132:$N$132</c15:sqref>
                        </c15:formulaRef>
                      </c:ext>
                    </c:extLst>
                    <c:strCache>
                      <c:ptCount val="12"/>
                      <c:pt idx="0">
                        <c:v>7/1/2018</c:v>
                      </c:pt>
                      <c:pt idx="1">
                        <c:v>8/1/2018</c:v>
                      </c:pt>
                      <c:pt idx="2">
                        <c:v>9/1/2018</c:v>
                      </c:pt>
                      <c:pt idx="3">
                        <c:v>10/1/2018</c:v>
                      </c:pt>
                      <c:pt idx="4">
                        <c:v>11/1/2018</c:v>
                      </c:pt>
                      <c:pt idx="5">
                        <c:v>12/1/2018</c:v>
                      </c:pt>
                      <c:pt idx="6">
                        <c:v>1/1/2019</c:v>
                      </c:pt>
                      <c:pt idx="7">
                        <c:v>2/1/2019</c:v>
                      </c:pt>
                      <c:pt idx="8">
                        <c:v>3/1/2019</c:v>
                      </c:pt>
                      <c:pt idx="9">
                        <c:v>4/1/2019</c:v>
                      </c:pt>
                      <c:pt idx="10">
                        <c:v>5/1/2019</c:v>
                      </c:pt>
                      <c:pt idx="11">
                        <c:v>6/1/2019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Graphs!$C$135:$N$135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2E7F-435B-AAF5-95546BF5C9CE}"/>
                  </c:ext>
                </c:extLst>
              </c15:ser>
            </c15:filteredLineSeries>
          </c:ext>
        </c:extLst>
      </c:lineChart>
      <c:catAx>
        <c:axId val="1511344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1755232"/>
        <c:crosses val="autoZero"/>
        <c:auto val="1"/>
        <c:lblAlgn val="ctr"/>
        <c:lblOffset val="100"/>
        <c:noMultiLvlLbl val="0"/>
      </c:catAx>
      <c:valAx>
        <c:axId val="1511755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1344688"/>
        <c:crosses val="autoZero"/>
        <c:crossBetween val="between"/>
      </c:valAx>
      <c:valAx>
        <c:axId val="1558034592"/>
        <c:scaling>
          <c:orientation val="minMax"/>
        </c:scaling>
        <c:delete val="0"/>
        <c:axPos val="r"/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138112"/>
        <c:crosses val="max"/>
        <c:crossBetween val="between"/>
      </c:valAx>
      <c:catAx>
        <c:axId val="5171381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580345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ACV vs. SG&amp;A 2020F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Graphs!$B$140</c:f>
              <c:strCache>
                <c:ptCount val="1"/>
                <c:pt idx="0">
                  <c:v>Total ACV (20F)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Graphs!$C$139:$Q$139</c:f>
              <c:numCache>
                <c:formatCode>m/d/yy</c:formatCode>
                <c:ptCount val="15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</c:numCache>
            </c:numRef>
          </c:cat>
          <c:val>
            <c:numRef>
              <c:f>Graphs!$C$140:$Q$140</c:f>
              <c:numCache>
                <c:formatCode>_(* #,##0_);_(* \(#,##0\);_(* "-"??_);_(@_)</c:formatCode>
                <c:ptCount val="15"/>
                <c:pt idx="0">
                  <c:v>22524.502035326062</c:v>
                </c:pt>
                <c:pt idx="1">
                  <c:v>68256.066773715342</c:v>
                </c:pt>
                <c:pt idx="2">
                  <c:v>136512.13354743068</c:v>
                </c:pt>
                <c:pt idx="3">
                  <c:v>189751.86563092863</c:v>
                </c:pt>
                <c:pt idx="4">
                  <c:v>238896.23370800368</c:v>
                </c:pt>
                <c:pt idx="5">
                  <c:v>262785.85707880405</c:v>
                </c:pt>
                <c:pt idx="6">
                  <c:v>289405.72312055301</c:v>
                </c:pt>
                <c:pt idx="7">
                  <c:v>316480.62960746017</c:v>
                </c:pt>
                <c:pt idx="8">
                  <c:v>344010.5765395253</c:v>
                </c:pt>
                <c:pt idx="9">
                  <c:v>371995.56391674856</c:v>
                </c:pt>
                <c:pt idx="10">
                  <c:v>400435.59173912997</c:v>
                </c:pt>
                <c:pt idx="11">
                  <c:v>429330.66000666947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B6-4F33-BEFA-BCF2246DE79C}"/>
            </c:ext>
          </c:extLst>
        </c:ser>
        <c:ser>
          <c:idx val="1"/>
          <c:order val="1"/>
          <c:tx>
            <c:strRef>
              <c:f>Graphs!$B$141</c:f>
              <c:strCache>
                <c:ptCount val="1"/>
                <c:pt idx="0">
                  <c:v>Total SG&amp;A (20F)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Graphs!$C$139:$Q$139</c:f>
              <c:numCache>
                <c:formatCode>m/d/yy</c:formatCode>
                <c:ptCount val="15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</c:numCache>
            </c:numRef>
          </c:cat>
          <c:val>
            <c:numRef>
              <c:f>Graphs!$C$141:$Q$141</c:f>
              <c:numCache>
                <c:formatCode>_(* #,##0_);_(* \(#,##0\);_(* "-"??_);_(@_)</c:formatCode>
                <c:ptCount val="15"/>
                <c:pt idx="0">
                  <c:v>34335.783536865943</c:v>
                </c:pt>
                <c:pt idx="1">
                  <c:v>57408.940010704871</c:v>
                </c:pt>
                <c:pt idx="2">
                  <c:v>93317.880021409743</c:v>
                </c:pt>
                <c:pt idx="3">
                  <c:v>104808.51989642621</c:v>
                </c:pt>
                <c:pt idx="4">
                  <c:v>115889.62337080037</c:v>
                </c:pt>
                <c:pt idx="5">
                  <c:v>124445.25237454708</c:v>
                </c:pt>
                <c:pt idx="6">
                  <c:v>143857.23897872196</c:v>
                </c:pt>
                <c:pt idx="7">
                  <c:v>152731.39629407937</c:v>
                </c:pt>
                <c:pt idx="8">
                  <c:v>161651.05765395254</c:v>
                </c:pt>
                <c:pt idx="9">
                  <c:v>170616.22305834154</c:v>
                </c:pt>
                <c:pt idx="10">
                  <c:v>179626.89250724635</c:v>
                </c:pt>
                <c:pt idx="11">
                  <c:v>188683.06600066693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B6-4F33-BEFA-BCF2246DE7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59716432"/>
        <c:axId val="1557777968"/>
      </c:lineChart>
      <c:dateAx>
        <c:axId val="1559716432"/>
        <c:scaling>
          <c:orientation val="minMax"/>
        </c:scaling>
        <c:delete val="0"/>
        <c:axPos val="b"/>
        <c:numFmt formatCode="m/d/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7777968"/>
        <c:crosses val="autoZero"/>
        <c:auto val="1"/>
        <c:lblOffset val="100"/>
        <c:baseTimeUnit val="months"/>
      </c:dateAx>
      <c:valAx>
        <c:axId val="1557777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9716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116378</xdr:colOff>
      <xdr:row>1</xdr:row>
      <xdr:rowOff>174565</xdr:rowOff>
    </xdr:from>
    <xdr:to>
      <xdr:col>5</xdr:col>
      <xdr:colOff>274320</xdr:colOff>
      <xdr:row>24</xdr:row>
      <xdr:rowOff>58189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997B156-36A4-4168-9892-D235A764B4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99753</xdr:colOff>
      <xdr:row>27</xdr:row>
      <xdr:rowOff>157938</xdr:rowOff>
    </xdr:from>
    <xdr:to>
      <xdr:col>4</xdr:col>
      <xdr:colOff>266008</xdr:colOff>
      <xdr:row>49</xdr:row>
      <xdr:rowOff>49875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08D1262-5271-4A66-BDD3-7086EAF405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3977640</xdr:colOff>
      <xdr:row>4</xdr:row>
      <xdr:rowOff>170411</xdr:rowOff>
    </xdr:from>
    <xdr:to>
      <xdr:col>2</xdr:col>
      <xdr:colOff>320041</xdr:colOff>
      <xdr:row>8</xdr:row>
      <xdr:rowOff>103908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2DD59BC6-B8BF-4F9A-866F-5C438BDA11B8}"/>
            </a:ext>
          </a:extLst>
        </xdr:cNvPr>
        <xdr:cNvSpPr/>
      </xdr:nvSpPr>
      <xdr:spPr>
        <a:xfrm rot="5400000">
          <a:off x="4971012" y="74814"/>
          <a:ext cx="698268" cy="2419004"/>
        </a:xfrm>
        <a:prstGeom prst="ellipse">
          <a:avLst/>
        </a:prstGeom>
        <a:noFill/>
        <a:ln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1097279</xdr:colOff>
      <xdr:row>33</xdr:row>
      <xdr:rowOff>166254</xdr:rowOff>
    </xdr:from>
    <xdr:to>
      <xdr:col>1</xdr:col>
      <xdr:colOff>2709949</xdr:colOff>
      <xdr:row>40</xdr:row>
      <xdr:rowOff>91439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59C1081C-9C0A-45C8-996B-7A7E5C50FAD6}"/>
            </a:ext>
          </a:extLst>
        </xdr:cNvPr>
        <xdr:cNvSpPr/>
      </xdr:nvSpPr>
      <xdr:spPr>
        <a:xfrm>
          <a:off x="1230283" y="6143105"/>
          <a:ext cx="1612670" cy="1263534"/>
        </a:xfrm>
        <a:prstGeom prst="ellipse">
          <a:avLst/>
        </a:prstGeom>
        <a:noFill/>
        <a:ln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764771</xdr:colOff>
      <xdr:row>1</xdr:row>
      <xdr:rowOff>149628</xdr:rowOff>
    </xdr:from>
    <xdr:to>
      <xdr:col>13</xdr:col>
      <xdr:colOff>706582</xdr:colOff>
      <xdr:row>24</xdr:row>
      <xdr:rowOff>58188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66D59BDD-8A33-437D-BDF4-F5CF7E06F8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182880</xdr:colOff>
      <xdr:row>6</xdr:row>
      <xdr:rowOff>19165</xdr:rowOff>
    </xdr:from>
    <xdr:to>
      <xdr:col>13</xdr:col>
      <xdr:colOff>282633</xdr:colOff>
      <xdr:row>13</xdr:row>
      <xdr:rowOff>159788</xdr:rowOff>
    </xdr:to>
    <xdr:sp macro="" textlink="">
      <xdr:nvSpPr>
        <xdr:cNvPr id="11" name="Arrow: Up-Down 10">
          <a:extLst>
            <a:ext uri="{FF2B5EF4-FFF2-40B4-BE49-F238E27FC236}">
              <a16:creationId xmlns:a16="http://schemas.microsoft.com/office/drawing/2014/main" id="{84D82A0B-7C2D-4451-88BE-11734056D9A6}"/>
            </a:ext>
          </a:extLst>
        </xdr:cNvPr>
        <xdr:cNvSpPr/>
      </xdr:nvSpPr>
      <xdr:spPr>
        <a:xfrm>
          <a:off x="16375380" y="1162165"/>
          <a:ext cx="99753" cy="1474123"/>
        </a:xfrm>
        <a:prstGeom prst="up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invalid="1" saveData="0" refreshedBy="Alexa Hall" refreshedDate="43807.928783680552" createdVersion="3" refreshedVersion="6" minRefreshableVersion="3" recordCount="0" tupleCache="1" xr:uid="{7AA92ED9-05B8-4ABA-B168-8E877107EAD1}">
  <cacheSource type="external" connectionId="1"/>
  <cacheFields count="4">
    <cacheField name="[TPData].[Close Month].[Close Month]" caption="Close Month" numFmtId="0" hierarchy="5" level="1">
      <sharedItems count="12">
        <s v="[TPData].[Close Month].&amp;[2019-03-01T00:00:00]" c="3/1/2019"/>
        <s v="[TPData].[Close Month].&amp;[2018-11-01T00:00:00]" c="11/1/2018"/>
        <s v="[TPData].[Close Month].&amp;[2018-07-01T00:00:00]" c="7/1/2018"/>
        <s v="[TPData].[Close Month].&amp;[2019-01-01T00:00:00]" c="1/1/2019"/>
        <s v="[TPData].[Close Month].&amp;[2018-09-01T00:00:00]" c="9/1/2018"/>
        <s v="[TPData].[Close Month].&amp;[2018-12-01T00:00:00]" c="12/1/2018"/>
        <s v="[TPData].[Close Month].&amp;[2019-06-01T00:00:00]" c="6/1/2019"/>
        <s v="[TPData].[Close Month].&amp;[2019-02-01T00:00:00]" c="2/1/2019"/>
        <s v="[TPData].[Close Month].&amp;[2018-10-01T00:00:00]" c="10/1/2018"/>
        <s v="[TPData].[Close Month].&amp;[2019-05-01T00:00:00]" c="5/1/2019"/>
        <s v="[TPData].[Close Month].&amp;[2019-04-01T00:00:00]" c="4/1/2019"/>
        <s v="[TPData].[Close Month].&amp;[2018-08-01T00:00:00]" c="8/1/2018"/>
      </sharedItems>
    </cacheField>
    <cacheField name="[TPData].[Deal Size].[Deal Size]" caption="Deal Size" numFmtId="0" hierarchy="7" level="1">
      <sharedItems count="4">
        <s v="[TPData].[Deal Size].&amp;[Small (&lt;5k)]" c="Small (&lt;5k)"/>
        <s v="[TPData].[Deal Size].&amp;[Medium (&lt;10k)]" c="Medium (&lt;10k)"/>
        <s v="[TPData].[Deal Size].&amp;[Large (&lt;20k)]" c="Large (&lt;20k)"/>
        <s v="[TPData].[Deal Size].&amp;[Mega (20k+)]" c="Mega (20k+)"/>
      </sharedItems>
    </cacheField>
    <cacheField name="[Measures].[MeasuresLevel]" caption="MeasuresLevel" numFmtId="0">
      <sharedItems count="2">
        <s v="[Measures].[Sum of Annual Contract Value (ACV)]" c="Sum of Annual Contract Value (ACV)"/>
        <s v="[Measures].[Count of Client]" c="Count of Client"/>
      </sharedItems>
    </cacheField>
    <cacheField name="[TPData].[Client].[Client]" caption="Client" numFmtId="0" hierarchy="1" level="1">
      <sharedItems count="526">
        <s v="[TPData].[Client].&amp;[Client 998]" c="Client 998"/>
        <s v="[TPData].[Client].&amp;[Client 996]" c="Client 996"/>
        <s v="[TPData].[Client].&amp;[Client 994]" c="Client 994"/>
        <s v="[TPData].[Client].&amp;[Client 992]" c="Client 992"/>
        <s v="[TPData].[Client].&amp;[Client 990]" c="Client 990"/>
        <s v="[TPData].[Client].&amp;[Client 989]" c="Client 989"/>
        <s v="[TPData].[Client].&amp;[Client 987]" c="Client 987"/>
        <s v="[TPData].[Client].&amp;[Client 985]" c="Client 985"/>
        <s v="[TPData].[Client].&amp;[Client 98]" c="Client 98"/>
        <s v="[TPData].[Client].&amp;[Client 975]" c="Client 975"/>
        <s v="[TPData].[Client].&amp;[Client 973]" c="Client 973"/>
        <s v="[TPData].[Client].&amp;[Client 970]" c="Client 970"/>
        <s v="[TPData].[Client].&amp;[Client 96]" c="Client 96"/>
        <s v="[TPData].[Client].&amp;[Client 94]" c="Client 94"/>
        <s v="[TPData].[Client].&amp;[Client 92]" c="Client 92"/>
        <s v="[TPData].[Client].&amp;[Client 90]" c="Client 90"/>
        <s v="[TPData].[Client].&amp;[Client 88]" c="Client 88"/>
        <s v="[TPData].[Client].&amp;[Client 86]" c="Client 86"/>
        <s v="[TPData].[Client].&amp;[Client 84]" c="Client 84"/>
        <s v="[TPData].[Client].&amp;[Client 82]" c="Client 82"/>
        <s v="[TPData].[Client].&amp;[Client 80]" c="Client 80"/>
        <s v="[TPData].[Client].&amp;[Client 78]" c="Client 78"/>
        <s v="[TPData].[Client].&amp;[Client 76]" c="Client 76"/>
        <s v="[TPData].[Client].&amp;[Client 74]" c="Client 74"/>
        <s v="[TPData].[Client].&amp;[Client 72]" c="Client 72"/>
        <s v="[TPData].[Client].&amp;[Client 70]" c="Client 70"/>
        <s v="[TPData].[Client].&amp;[Client 68]" c="Client 68"/>
        <s v="[TPData].[Client].&amp;[Client 661]" c="Client 661"/>
        <s v="[TPData].[Client].&amp;[Client 66]" c="Client 66"/>
        <s v="[TPData].[Client].&amp;[Client 658]" c="Client 658"/>
        <s v="[TPData].[Client].&amp;[Client 656]" c="Client 656"/>
        <s v="[TPData].[Client].&amp;[Client 654]" c="Client 654"/>
        <s v="[TPData].[Client].&amp;[Client 652]" c="Client 652"/>
        <s v="[TPData].[Client].&amp;[Client 650]" c="Client 650"/>
        <s v="[TPData].[Client].&amp;[Client 649]" c="Client 649"/>
        <s v="[TPData].[Client].&amp;[Client 647]" c="Client 647"/>
        <s v="[TPData].[Client].&amp;[Client 645]" c="Client 645"/>
        <s v="[TPData].[Client].&amp;[Client 643]" c="Client 643"/>
        <s v="[TPData].[Client].&amp;[Client 641]" c="Client 641"/>
        <s v="[TPData].[Client].&amp;[Client 64]" c="Client 64"/>
        <s v="[TPData].[Client].&amp;[Client 638]" c="Client 638"/>
        <s v="[TPData].[Client].&amp;[Client 63]" c="Client 63"/>
        <s v="[TPData].[Client].&amp;[Client 616]" c="Client 616"/>
        <s v="[TPData].[Client].&amp;[Client 614]" c="Client 614"/>
        <s v="[TPData].[Client].&amp;[Client 612]" c="Client 612"/>
        <s v="[TPData].[Client].&amp;[Client 610]" c="Client 610"/>
        <s v="[TPData].[Client].&amp;[Client 609]" c="Client 609"/>
        <s v="[TPData].[Client].&amp;[Client 607]" c="Client 607"/>
        <s v="[TPData].[Client].&amp;[Client 605]" c="Client 605"/>
        <s v="[TPData].[Client].&amp;[Client 603]" c="Client 603"/>
        <s v="[TPData].[Client].&amp;[Client 601]" c="Client 601"/>
        <s v="[TPData].[Client].&amp;[Client 60]" c="Client 60"/>
        <s v="[TPData].[Client].&amp;[Client 598]" c="Client 598"/>
        <s v="[TPData].[Client].&amp;[Client 596]" c="Client 596"/>
        <s v="[TPData].[Client].&amp;[Client 999]" c="Client 999"/>
        <s v="[TPData].[Client].&amp;[Client 995]" c="Client 995"/>
        <s v="[TPData].[Client].&amp;[Client 991]" c="Client 991"/>
        <s v="[TPData].[Client].&amp;[Client 988]" c="Client 988"/>
        <s v="[TPData].[Client].&amp;[Client 976]" c="Client 976"/>
        <s v="[TPData].[Client].&amp;[Client 974]" c="Client 974"/>
        <s v="[TPData].[Client].&amp;[Client 95]" c="Client 95"/>
        <s v="[TPData].[Client].&amp;[Client 93]" c="Client 93"/>
        <s v="[TPData].[Client].&amp;[Client 87]" c="Client 87"/>
        <s v="[TPData].[Client].&amp;[Client 85]" c="Client 85"/>
        <s v="[TPData].[Client].&amp;[Client 79]" c="Client 79"/>
        <s v="[TPData].[Client].&amp;[Client 77]" c="Client 77"/>
        <s v="[TPData].[Client].&amp;[Client 71]" c="Client 71"/>
        <s v="[TPData].[Client].&amp;[Client 69]" c="Client 69"/>
        <s v="[TPData].[Client].&amp;[Client 659]" c="Client 659"/>
        <s v="[TPData].[Client].&amp;[Client 657]" c="Client 657"/>
        <s v="[TPData].[Client].&amp;[Client 651]" c="Client 651"/>
        <s v="[TPData].[Client].&amp;[Client 65]" c="Client 65"/>
        <s v="[TPData].[Client].&amp;[Client 644]" c="Client 644"/>
        <s v="[TPData].[Client].&amp;[Client 642]" c="Client 642"/>
        <s v="[TPData].[Client].&amp;[Client 637]" c="Client 637"/>
        <s v="[TPData].[Client].&amp;[Client 62]" c="Client 62"/>
        <s v="[TPData].[Client].&amp;[Client 611]" c="Client 611"/>
        <s v="[TPData].[Client].&amp;[Client 61]" c="Client 61"/>
        <s v="[TPData].[Client].&amp;[Client 604]" c="Client 604"/>
        <s v="[TPData].[Client].&amp;[Client 602]" c="Client 602"/>
        <s v="[TPData].[Client].&amp;[Client 597]" c="Client 597"/>
        <s v="[TPData].[Client].&amp;[Client 595]" c="Client 595"/>
        <s v="[TPData].[Client].&amp;[Client 593]" c="Client 593"/>
        <s v="[TPData].[Client].&amp;[Client 591]" c="Client 591"/>
        <s v="[TPData].[Client].&amp;[Client 59]" c="Client 59"/>
        <s v="[TPData].[Client].&amp;[Client 588]" c="Client 588"/>
        <s v="[TPData].[Client].&amp;[Client 586]" c="Client 586"/>
        <s v="[TPData].[Client].&amp;[Client 584]" c="Client 584"/>
        <s v="[TPData].[Client].&amp;[Client 582]" c="Client 582"/>
        <s v="[TPData].[Client].&amp;[Client 580]" c="Client 580"/>
        <s v="[TPData].[Client].&amp;[Client 579]" c="Client 579"/>
        <s v="[TPData].[Client].&amp;[Client 577]" c="Client 577"/>
        <s v="[TPData].[Client].&amp;[Client 575]" c="Client 575"/>
        <s v="[TPData].[Client].&amp;[Client 573]" c="Client 573"/>
        <s v="[TPData].[Client].&amp;[Client 571]" c="Client 571"/>
        <s v="[TPData].[Client].&amp;[Client 57]" c="Client 57"/>
        <s v="[TPData].[Client].&amp;[Client 568]" c="Client 568"/>
        <s v="[TPData].[Client].&amp;[Client 566]" c="Client 566"/>
        <s v="[TPData].[Client].&amp;[Client 564]" c="Client 564"/>
        <s v="[TPData].[Client].&amp;[Client 55]" c="Client 55"/>
        <s v="[TPData].[Client].&amp;[Client 532]" c="Client 532"/>
        <s v="[TPData].[Client].&amp;[Client 530]" c="Client 530"/>
        <s v="[TPData].[Client].&amp;[Client 529]" c="Client 529"/>
        <s v="[TPData].[Client].&amp;[Client 527]" c="Client 527"/>
        <s v="[TPData].[Client].&amp;[Client 525]" c="Client 525"/>
        <s v="[TPData].[Client].&amp;[Client 523]" c="Client 523"/>
        <s v="[TPData].[Client].&amp;[Client 521]" c="Client 521"/>
        <s v="[TPData].[Client].&amp;[Client 52]" c="Client 52"/>
        <s v="[TPData].[Client].&amp;[Client 518]" c="Client 518"/>
        <s v="[TPData].[Client].&amp;[Client 516]" c="Client 516"/>
        <s v="[TPData].[Client].&amp;[Client 514]" c="Client 514"/>
        <s v="[TPData].[Client].&amp;[Client 512]" c="Client 512"/>
        <s v="[TPData].[Client].&amp;[Client 510]" c="Client 510"/>
        <s v="[TPData].[Client].&amp;[Client 509]" c="Client 509"/>
        <s v="[TPData].[Client].&amp;[Client 507]" c="Client 507"/>
        <s v="[TPData].[Client].&amp;[Client 505]" c="Client 505"/>
        <s v="[TPData].[Client].&amp;[Client 503]" c="Client 503"/>
        <s v="[TPData].[Client].&amp;[Client 501]" c="Client 501"/>
        <s v="[TPData].[Client].&amp;[Client 50]" c="Client 50"/>
        <s v="[TPData].[Client].&amp;[Client 498]" c="Client 498"/>
        <s v="[TPData].[Client].&amp;[Client 496]" c="Client 496"/>
        <s v="[TPData].[Client].&amp;[Client 494]" c="Client 494"/>
        <s v="[TPData].[Client].&amp;[Client 492]" c="Client 492"/>
        <s v="[TPData].[Client].&amp;[Client 490]" c="Client 490"/>
        <s v="[TPData].[Client].&amp;[Client 489]" c="Client 489"/>
        <s v="[TPData].[Client].&amp;[Client 487]" c="Client 487"/>
        <s v="[TPData].[Client].&amp;[Client 485]" c="Client 485"/>
        <s v="[TPData].[Client].&amp;[Client 483]" c="Client 483"/>
        <s v="[TPData].[Client].&amp;[Client 481]" c="Client 481"/>
        <s v="[TPData].[Client].&amp;[Client 47]" c="Client 47"/>
        <s v="[TPData].[Client].&amp;[Client 466]" c="Client 466"/>
        <s v="[TPData].[Client].&amp;[Client 464]" c="Client 464"/>
        <s v="[TPData].[Client].&amp;[Client 462]" c="Client 462"/>
        <s v="[TPData].[Client].&amp;[Client 460]" c="Client 460"/>
        <s v="[TPData].[Client].&amp;[Client 459]" c="Client 459"/>
        <s v="[TPData].[Client].&amp;[Client 457]" c="Client 457"/>
        <s v="[TPData].[Client].&amp;[Client 455]" c="Client 455"/>
        <s v="[TPData].[Client].&amp;[Client 453]" c="Client 453"/>
        <s v="[TPData].[Client].&amp;[Client 451]" c="Client 451"/>
        <s v="[TPData].[Client].&amp;[Client 45]" c="Client 45"/>
        <s v="[TPData].[Client].&amp;[Client 448]" c="Client 448"/>
        <s v="[TPData].[Client].&amp;[Client 446]" c="Client 446"/>
        <s v="[TPData].[Client].&amp;[Client 444]" c="Client 444"/>
        <s v="[TPData].[Client].&amp;[Client 442]" c="Client 442"/>
        <s v="[TPData].[Client].&amp;[Client 440]" c="Client 440"/>
        <s v="[TPData].[Client].&amp;[Client 439]" c="Client 439"/>
        <s v="[TPData].[Client].&amp;[Client 437]" c="Client 437"/>
        <s v="[TPData].[Client].&amp;[Client 435]" c="Client 435"/>
        <s v="[TPData].[Client].&amp;[Client 433]" c="Client 433"/>
        <s v="[TPData].[Client].&amp;[Client 431]" c="Client 431"/>
        <s v="[TPData].[Client].&amp;[Client 429]" c="Client 429"/>
        <s v="[TPData].[Client].&amp;[Client 427]" c="Client 427"/>
        <s v="[TPData].[Client].&amp;[Client 425]" c="Client 425"/>
        <s v="[TPData].[Client].&amp;[Client 423]" c="Client 423"/>
        <s v="[TPData].[Client].&amp;[Client 421]" c="Client 421"/>
        <s v="[TPData].[Client].&amp;[Client 419]" c="Client 419"/>
        <s v="[TPData].[Client].&amp;[Client 416]" c="Client 416"/>
        <s v="[TPData].[Client].&amp;[Client 414]" c="Client 414"/>
        <s v="[TPData].[Client].&amp;[Client 412]" c="Client 412"/>
        <s v="[TPData].[Client].&amp;[Client 410]" c="Client 410"/>
        <s v="[TPData].[Client].&amp;[Client 408]" c="Client 408"/>
        <s v="[TPData].[Client].&amp;[Client 406]" c="Client 406"/>
        <s v="[TPData].[Client].&amp;[Client 404]" c="Client 404"/>
        <s v="[TPData].[Client].&amp;[Client 402]" c="Client 402"/>
        <s v="[TPData].[Client].&amp;[Client 400]" c="Client 400"/>
        <s v="[TPData].[Client].&amp;[Client 398]" c="Client 398"/>
        <s v="[TPData].[Client].&amp;[Client 396]" c="Client 396"/>
        <s v="[TPData].[Client].&amp;[Client 394]" c="Client 394"/>
        <s v="[TPData].[Client].&amp;[Client 392]" c="Client 392"/>
        <s v="[TPData].[Client].&amp;[Client 390]" c="Client 390"/>
        <s v="[TPData].[Client].&amp;[Client 388]" c="Client 388"/>
        <s v="[TPData].[Client].&amp;[Client 386]" c="Client 386"/>
        <s v="[TPData].[Client].&amp;[Client 384]" c="Client 384"/>
        <s v="[TPData].[Client].&amp;[Client 382]" c="Client 382"/>
        <s v="[TPData].[Client].&amp;[Client 338]" c="Client 338"/>
        <s v="[TPData].[Client].&amp;[Client 336]" c="Client 336"/>
        <s v="[TPData].[Client].&amp;[Client 334]" c="Client 334"/>
        <s v="[TPData].[Client].&amp;[Client 332]" c="Client 332"/>
        <s v="[TPData].[Client].&amp;[Client 330]" c="Client 330"/>
        <s v="[TPData].[Client].&amp;[Client 328]" c="Client 328"/>
        <s v="[TPData].[Client].&amp;[Client 326]" c="Client 326"/>
        <s v="[TPData].[Client].&amp;[Client 324]" c="Client 324"/>
        <s v="[TPData].[Client].&amp;[Client 322]" c="Client 322"/>
        <s v="[TPData].[Client].&amp;[Client 320]" c="Client 320"/>
        <s v="[TPData].[Client].&amp;[Client 318]" c="Client 318"/>
        <s v="[TPData].[Client].&amp;[Client 316]" c="Client 316"/>
        <s v="[TPData].[Client].&amp;[Client 314]" c="Client 314"/>
        <s v="[TPData].[Client].&amp;[Client 312]" c="Client 312"/>
        <s v="[TPData].[Client].&amp;[Client 310]" c="Client 310"/>
        <s v="[TPData].[Client].&amp;[Client 308]" c="Client 308"/>
        <s v="[TPData].[Client].&amp;[Client 306]" c="Client 306"/>
        <s v="[TPData].[Client].&amp;[Client 304]" c="Client 304"/>
        <s v="[TPData].[Client].&amp;[Client 302]" c="Client 302"/>
        <s v="[TPData].[Client].&amp;[Client 300]" c="Client 300"/>
        <s v="[TPData].[Client].&amp;[Client 298]" c="Client 298"/>
        <s v="[TPData].[Client].&amp;[Client 296]" c="Client 296"/>
        <s v="[TPData].[Client].&amp;[Client 294]" c="Client 294"/>
        <s v="[TPData].[Client].&amp;[Client 292]" c="Client 292"/>
        <s v="[TPData].[Client].&amp;[Client 290]" c="Client 290"/>
        <s v="[TPData].[Client].&amp;[Client 288]" c="Client 288"/>
        <s v="[TPData].[Client].&amp;[Client 286]" c="Client 286"/>
        <s v="[TPData].[Client].&amp;[Client 284]" c="Client 284"/>
        <s v="[TPData].[Client].&amp;[Client 282]" c="Client 282"/>
        <s v="[TPData].[Client].&amp;[Client 280]" c="Client 280"/>
        <s v="[TPData].[Client].&amp;[Client 278]" c="Client 278"/>
        <s v="[TPData].[Client].&amp;[Client 276]" c="Client 276"/>
        <s v="[TPData].[Client].&amp;[Client 274]" c="Client 274"/>
        <s v="[TPData].[Client].&amp;[Client 272]" c="Client 272"/>
        <s v="[TPData].[Client].&amp;[Client 270]" c="Client 270"/>
        <s v="[TPData].[Client].&amp;[Client 268]" c="Client 268"/>
        <s v="[TPData].[Client].&amp;[Client 266]" c="Client 266"/>
        <s v="[TPData].[Client].&amp;[Client 264]" c="Client 264"/>
        <s v="[TPData].[Client].&amp;[Client 262]" c="Client 262"/>
        <s v="[TPData].[Client].&amp;[Client 260]" c="Client 260"/>
        <s v="[TPData].[Client].&amp;[Client 258]" c="Client 258"/>
        <s v="[TPData].[Client].&amp;[Client 256]" c="Client 256"/>
        <s v="[TPData].[Client].&amp;[Client 254]" c="Client 254"/>
        <s v="[TPData].[Client].&amp;[Client 252]" c="Client 252"/>
        <s v="[TPData].[Client].&amp;[Client 250]" c="Client 250"/>
        <s v="[TPData].[Client].&amp;[Client 248]" c="Client 248"/>
        <s v="[TPData].[Client].&amp;[Client 246]" c="Client 246"/>
        <s v="[TPData].[Client].&amp;[Client 244]" c="Client 244"/>
        <s v="[TPData].[Client].&amp;[Client 242]" c="Client 242"/>
        <s v="[TPData].[Client].&amp;[Client 240]" c="Client 240"/>
        <s v="[TPData].[Client].&amp;[Client 238]" c="Client 238"/>
        <s v="[TPData].[Client].&amp;[Client 236]" c="Client 236"/>
        <s v="[TPData].[Client].&amp;[Client 234]" c="Client 234"/>
        <s v="[TPData].[Client].&amp;[Client 232]" c="Client 232"/>
        <s v="[TPData].[Client].&amp;[Client 230]" c="Client 230"/>
        <s v="[TPData].[Client].&amp;[Client 228]" c="Client 228"/>
        <s v="[TPData].[Client].&amp;[Client 226]" c="Client 226"/>
        <s v="[TPData].[Client].&amp;[Client 224]" c="Client 224"/>
        <s v="[TPData].[Client].&amp;[Client 222]" c="Client 222"/>
        <s v="[TPData].[Client].&amp;[Client 220]" c="Client 220"/>
        <s v="[TPData].[Client].&amp;[Client 218]" c="Client 218"/>
        <s v="[TPData].[Client].&amp;[Client 216]" c="Client 216"/>
        <s v="[TPData].[Client].&amp;[Client 214]" c="Client 214"/>
        <s v="[TPData].[Client].&amp;[Client 212]" c="Client 212"/>
        <s v="[TPData].[Client].&amp;[Client 210]" c="Client 210"/>
        <s v="[TPData].[Client].&amp;[Client 208]" c="Client 208"/>
        <s v="[TPData].[Client].&amp;[Client 206]" c="Client 206"/>
        <s v="[TPData].[Client].&amp;[Client 204]" c="Client 204"/>
        <s v="[TPData].[Client].&amp;[Client 202]" c="Client 202"/>
        <s v="[TPData].[Client].&amp;[Client 200]" c="Client 200"/>
        <s v="[TPData].[Client].&amp;[Client 198]" c="Client 198"/>
        <s v="[TPData].[Client].&amp;[Client 196]" c="Client 196"/>
        <s v="[TPData].[Client].&amp;[Client 194]" c="Client 194"/>
        <s v="[TPData].[Client].&amp;[Client 192]" c="Client 192"/>
        <s v="[TPData].[Client].&amp;[Client 190]" c="Client 190"/>
        <s v="[TPData].[Client].&amp;[Client 181]" c="Client 181"/>
        <s v="[TPData].[Client].&amp;[Client 179]" c="Client 179"/>
        <s v="[TPData].[Client].&amp;[Client 177]" c="Client 177"/>
        <s v="[TPData].[Client].&amp;[Client 175]" c="Client 175"/>
        <s v="[TPData].[Client].&amp;[Client 173]" c="Client 173"/>
        <s v="[TPData].[Client].&amp;[Client 171]" c="Client 171"/>
        <s v="[TPData].[Client].&amp;[Client 169]" c="Client 169"/>
        <s v="[TPData].[Client].&amp;[Client 167]" c="Client 167"/>
        <s v="[TPData].[Client].&amp;[Client 165]" c="Client 165"/>
        <s v="[TPData].[Client].&amp;[Client 163]" c="Client 163"/>
        <s v="[TPData].[Client].&amp;[Client 161]" c="Client 161"/>
        <s v="[TPData].[Client].&amp;[Client 159]" c="Client 159"/>
        <s v="[TPData].[Client].&amp;[Client 993]" c="Client 993"/>
        <s v="[TPData].[Client].&amp;[Client 99]" c="Client 99"/>
        <s v="[TPData].[Client].&amp;[Client 984]" c="Client 984"/>
        <s v="[TPData].[Client].&amp;[Client 972]" c="Client 972"/>
        <s v="[TPData].[Client].&amp;[Client 91]" c="Client 91"/>
        <s v="[TPData].[Client].&amp;[Client 81]" c="Client 81"/>
        <s v="[TPData].[Client].&amp;[Client 73]" c="Client 73"/>
        <s v="[TPData].[Client].&amp;[Client 67]" c="Client 67"/>
        <s v="[TPData].[Client].&amp;[Client 655]" c="Client 655"/>
        <s v="[TPData].[Client].&amp;[Client 646]" c="Client 646"/>
        <s v="[TPData].[Client].&amp;[Client 639]" c="Client 639"/>
        <s v="[TPData].[Client].&amp;[Client 615]" c="Client 615"/>
        <s v="[TPData].[Client].&amp;[Client 608]" c="Client 608"/>
        <s v="[TPData].[Client].&amp;[Client 599]" c="Client 599"/>
        <s v="[TPData].[Client].&amp;[Client 592]" c="Client 592"/>
        <s v="[TPData].[Client].&amp;[Client 590]" c="Client 590"/>
        <s v="[TPData].[Client].&amp;[Client 585]" c="Client 585"/>
        <s v="[TPData].[Client].&amp;[Client 583]" c="Client 583"/>
        <s v="[TPData].[Client].&amp;[Client 578]" c="Client 578"/>
        <s v="[TPData].[Client].&amp;[Client 576]" c="Client 576"/>
        <s v="[TPData].[Client].&amp;[Client 570]" c="Client 570"/>
        <s v="[TPData].[Client].&amp;[Client 569]" c="Client 569"/>
        <s v="[TPData].[Client].&amp;[Client 56]" c="Client 56"/>
        <s v="[TPData].[Client].&amp;[Client 54]" c="Client 54"/>
        <s v="[TPData].[Client].&amp;[Client 528]" c="Client 528"/>
        <s v="[TPData].[Client].&amp;[Client 526]" c="Client 526"/>
        <s v="[TPData].[Client].&amp;[Client 520]" c="Client 520"/>
        <s v="[TPData].[Client].&amp;[Client 519]" c="Client 519"/>
        <s v="[TPData].[Client].&amp;[Client 513]" c="Client 513"/>
        <s v="[TPData].[Client].&amp;[Client 511]" c="Client 511"/>
        <s v="[TPData].[Client].&amp;[Client 506]" c="Client 506"/>
        <s v="[TPData].[Client].&amp;[Client 504]" c="Client 504"/>
        <s v="[TPData].[Client].&amp;[Client 499]" c="Client 499"/>
        <s v="[TPData].[Client].&amp;[Client 497]" c="Client 497"/>
        <s v="[TPData].[Client].&amp;[Client 491]" c="Client 491"/>
        <s v="[TPData].[Client].&amp;[Client 49]" c="Client 49"/>
        <s v="[TPData].[Client].&amp;[Client 484]" c="Client 484"/>
        <s v="[TPData].[Client].&amp;[Client 482]" c="Client 482"/>
        <s v="[TPData].[Client].&amp;[Client 465]" c="Client 465"/>
        <s v="[TPData].[Client].&amp;[Client 463]" c="Client 463"/>
        <s v="[TPData].[Client].&amp;[Client 458]" c="Client 458"/>
        <s v="[TPData].[Client].&amp;[Client 456]" c="Client 456"/>
        <s v="[TPData].[Client].&amp;[Client 450]" c="Client 450"/>
        <s v="[TPData].[Client].&amp;[Client 449]" c="Client 449"/>
        <s v="[TPData].[Client].&amp;[Client 443]" c="Client 443"/>
        <s v="[TPData].[Client].&amp;[Client 441]" c="Client 441"/>
        <s v="[TPData].[Client].&amp;[Client 436]" c="Client 436"/>
        <s v="[TPData].[Client].&amp;[Client 434]" c="Client 434"/>
        <s v="[TPData].[Client].&amp;[Client 428]" c="Client 428"/>
        <s v="[TPData].[Client].&amp;[Client 426]" c="Client 426"/>
        <s v="[TPData].[Client].&amp;[Client 420]" c="Client 420"/>
        <s v="[TPData].[Client].&amp;[Client 418]" c="Client 418"/>
        <s v="[TPData].[Client].&amp;[Client 411]" c="Client 411"/>
        <s v="[TPData].[Client].&amp;[Client 409]" c="Client 409"/>
        <s v="[TPData].[Client].&amp;[Client 403]" c="Client 403"/>
        <s v="[TPData].[Client].&amp;[Client 401]" c="Client 401"/>
        <s v="[TPData].[Client].&amp;[Client 395]" c="Client 395"/>
        <s v="[TPData].[Client].&amp;[Client 393]" c="Client 393"/>
        <s v="[TPData].[Client].&amp;[Client 387]" c="Client 387"/>
        <s v="[TPData].[Client].&amp;[Client 385]" c="Client 385"/>
        <s v="[TPData].[Client].&amp;[Client 337]" c="Client 337"/>
        <s v="[TPData].[Client].&amp;[Client 335]" c="Client 335"/>
        <s v="[TPData].[Client].&amp;[Client 329]" c="Client 329"/>
        <s v="[TPData].[Client].&amp;[Client 327]" c="Client 327"/>
        <s v="[TPData].[Client].&amp;[Client 321]" c="Client 321"/>
        <s v="[TPData].[Client].&amp;[Client 319]" c="Client 319"/>
        <s v="[TPData].[Client].&amp;[Client 313]" c="Client 313"/>
        <s v="[TPData].[Client].&amp;[Client 311]" c="Client 311"/>
        <s v="[TPData].[Client].&amp;[Client 305]" c="Client 305"/>
        <s v="[TPData].[Client].&amp;[Client 303]" c="Client 303"/>
        <s v="[TPData].[Client].&amp;[Client 297]" c="Client 297"/>
        <s v="[TPData].[Client].&amp;[Client 295]" c="Client 295"/>
        <s v="[TPData].[Client].&amp;[Client 289]" c="Client 289"/>
        <s v="[TPData].[Client].&amp;[Client 287]" c="Client 287"/>
        <s v="[TPData].[Client].&amp;[Client 281]" c="Client 281"/>
        <s v="[TPData].[Client].&amp;[Client 279]" c="Client 279"/>
        <s v="[TPData].[Client].&amp;[Client 273]" c="Client 273"/>
        <s v="[TPData].[Client].&amp;[Client 271]" c="Client 271"/>
        <s v="[TPData].[Client].&amp;[Client 265]" c="Client 265"/>
        <s v="[TPData].[Client].&amp;[Client 263]" c="Client 263"/>
        <s v="[TPData].[Client].&amp;[Client 257]" c="Client 257"/>
        <s v="[TPData].[Client].&amp;[Client 255]" c="Client 255"/>
        <s v="[TPData].[Client].&amp;[Client 249]" c="Client 249"/>
        <s v="[TPData].[Client].&amp;[Client 247]" c="Client 247"/>
        <s v="[TPData].[Client].&amp;[Client 241]" c="Client 241"/>
        <s v="[TPData].[Client].&amp;[Client 239]" c="Client 239"/>
        <s v="[TPData].[Client].&amp;[Client 233]" c="Client 233"/>
        <s v="[TPData].[Client].&amp;[Client 231]" c="Client 231"/>
        <s v="[TPData].[Client].&amp;[Client 225]" c="Client 225"/>
        <s v="[TPData].[Client].&amp;[Client 223]" c="Client 223"/>
        <s v="[TPData].[Client].&amp;[Client 217]" c="Client 217"/>
        <s v="[TPData].[Client].&amp;[Client 215]" c="Client 215"/>
        <s v="[TPData].[Client].&amp;[Client 209]" c="Client 209"/>
        <s v="[TPData].[Client].&amp;[Client 207]" c="Client 207"/>
        <s v="[TPData].[Client].&amp;[Client 201]" c="Client 201"/>
        <s v="[TPData].[Client].&amp;[Client 199]" c="Client 199"/>
        <s v="[TPData].[Client].&amp;[Client 193]" c="Client 193"/>
        <s v="[TPData].[Client].&amp;[Client 191]" c="Client 191"/>
        <s v="[TPData].[Client].&amp;[Client 178]" c="Client 178"/>
        <s v="[TPData].[Client].&amp;[Client 176]" c="Client 176"/>
        <s v="[TPData].[Client].&amp;[Client 170]" c="Client 170"/>
        <s v="[TPData].[Client].&amp;[Client 168]" c="Client 168"/>
        <s v="[TPData].[Client].&amp;[Client 162]" c="Client 162"/>
        <s v="[TPData].[Client].&amp;[Client 160]" c="Client 160"/>
        <s v="[TPData].[Client].&amp;[Client 157]" c="Client 157"/>
        <s v="[TPData].[Client].&amp;[Client 155]" c="Client 155"/>
        <s v="[TPData].[Client].&amp;[Client 153]" c="Client 153"/>
        <s v="[TPData].[Client].&amp;[Client 151]" c="Client 151"/>
        <s v="[TPData].[Client].&amp;[Client 149]" c="Client 149"/>
        <s v="[TPData].[Client].&amp;[Client 147]" c="Client 147"/>
        <s v="[TPData].[Client].&amp;[Client 145]" c="Client 145"/>
        <s v="[TPData].[Client].&amp;[Client 143]" c="Client 143"/>
        <s v="[TPData].[Client].&amp;[Client 141]" c="Client 141"/>
        <s v="[TPData].[Client].&amp;[Client 139]" c="Client 139"/>
        <s v="[TPData].[Client].&amp;[Client 137]" c="Client 137"/>
        <s v="[TPData].[Client].&amp;[Client 135]" c="Client 135"/>
        <s v="[TPData].[Client].&amp;[Client 133]" c="Client 133"/>
        <s v="[TPData].[Client].&amp;[Client 131]" c="Client 131"/>
        <s v="[TPData].[Client].&amp;[Client 129]" c="Client 129"/>
        <s v="[TPData].[Client].&amp;[Client 127]" c="Client 127"/>
        <s v="[TPData].[Client].&amp;[Client 125]" c="Client 125"/>
        <s v="[TPData].[Client].&amp;[Client 123]" c="Client 123"/>
        <s v="[TPData].[Client].&amp;[Client 121]" c="Client 121"/>
        <s v="[TPData].[Client].&amp;[Client 119]" c="Client 119"/>
        <s v="[TPData].[Client].&amp;[Client 117]" c="Client 117"/>
        <s v="[TPData].[Client].&amp;[Client 115]" c="Client 115"/>
        <s v="[TPData].[Client].&amp;[Client 113]" c="Client 113"/>
        <s v="[TPData].[Client].&amp;[Client 111]" c="Client 111"/>
        <s v="[TPData].[Client].&amp;[Client 109]" c="Client 109"/>
        <s v="[TPData].[Client].&amp;[Client 107]" c="Client 107"/>
        <s v="[TPData].[Client].&amp;[Client 105]" c="Client 105"/>
        <s v="[TPData].[Client].&amp;[Client 103]" c="Client 103"/>
        <s v="[TPData].[Client].&amp;[Client 101]" c="Client 101"/>
        <s v="[TPData].[Client].&amp;[Client 997]" c="Client 997"/>
        <s v="[TPData].[Client].&amp;[Client 97]" c="Client 97"/>
        <s v="[TPData].[Client].&amp;[Client 83]" c="Client 83"/>
        <s v="[TPData].[Client].&amp;[Client 660]" c="Client 660"/>
        <s v="[TPData].[Client].&amp;[Client 648]" c="Client 648"/>
        <s v="[TPData].[Client].&amp;[Client 613]" c="Client 613"/>
        <s v="[TPData].[Client].&amp;[Client 600]" c="Client 600"/>
        <s v="[TPData].[Client].&amp;[Client 594]" c="Client 594"/>
        <s v="[TPData].[Client].&amp;[Client 587]" c="Client 587"/>
        <s v="[TPData].[Client].&amp;[Client 58]" c="Client 58"/>
        <s v="[TPData].[Client].&amp;[Client 572]" c="Client 572"/>
        <s v="[TPData].[Client].&amp;[Client 565]" c="Client 565"/>
        <s v="[TPData].[Client].&amp;[Client 53]" c="Client 53"/>
        <s v="[TPData].[Client].&amp;[Client 522]" c="Client 522"/>
        <s v="[TPData].[Client].&amp;[Client 515]" c="Client 515"/>
        <s v="[TPData].[Client].&amp;[Client 508]" c="Client 508"/>
        <s v="[TPData].[Client].&amp;[Client 500]" c="Client 500"/>
        <s v="[TPData].[Client].&amp;[Client 493]" c="Client 493"/>
        <s v="[TPData].[Client].&amp;[Client 486]" c="Client 486"/>
        <s v="[TPData].[Client].&amp;[Client 467]" c="Client 467"/>
        <s v="[TPData].[Client].&amp;[Client 46]" c="Client 46"/>
        <s v="[TPData].[Client].&amp;[Client 452]" c="Client 452"/>
        <s v="[TPData].[Client].&amp;[Client 445]" c="Client 445"/>
        <s v="[TPData].[Client].&amp;[Client 438]" c="Client 438"/>
        <s v="[TPData].[Client].&amp;[Client 430]" c="Client 430"/>
        <s v="[TPData].[Client].&amp;[Client 422]" c="Client 422"/>
        <s v="[TPData].[Client].&amp;[Client 413]" c="Client 413"/>
        <s v="[TPData].[Client].&amp;[Client 405]" c="Client 405"/>
        <s v="[TPData].[Client].&amp;[Client 397]" c="Client 397"/>
        <s v="[TPData].[Client].&amp;[Client 389]" c="Client 389"/>
        <s v="[TPData].[Client].&amp;[Client 381]" c="Client 381"/>
        <s v="[TPData].[Client].&amp;[Client 331]" c="Client 331"/>
        <s v="[TPData].[Client].&amp;[Client 323]" c="Client 323"/>
        <s v="[TPData].[Client].&amp;[Client 315]" c="Client 315"/>
        <s v="[TPData].[Client].&amp;[Client 307]" c="Client 307"/>
        <s v="[TPData].[Client].&amp;[Client 299]" c="Client 299"/>
        <s v="[TPData].[Client].&amp;[Client 291]" c="Client 291"/>
        <s v="[TPData].[Client].&amp;[Client 283]" c="Client 283"/>
        <s v="[TPData].[Client].&amp;[Client 275]" c="Client 275"/>
        <s v="[TPData].[Client].&amp;[Client 267]" c="Client 267"/>
        <s v="[TPData].[Client].&amp;[Client 259]" c="Client 259"/>
        <s v="[TPData].[Client].&amp;[Client 251]" c="Client 251"/>
        <s v="[TPData].[Client].&amp;[Client 243]" c="Client 243"/>
        <s v="[TPData].[Client].&amp;[Client 235]" c="Client 235"/>
        <s v="[TPData].[Client].&amp;[Client 227]" c="Client 227"/>
        <s v="[TPData].[Client].&amp;[Client 219]" c="Client 219"/>
        <s v="[TPData].[Client].&amp;[Client 211]" c="Client 211"/>
        <s v="[TPData].[Client].&amp;[Client 203]" c="Client 203"/>
        <s v="[TPData].[Client].&amp;[Client 195]" c="Client 195"/>
        <s v="[TPData].[Client].&amp;[Client 180]" c="Client 180"/>
        <s v="[TPData].[Client].&amp;[Client 172]" c="Client 172"/>
        <s v="[TPData].[Client].&amp;[Client 164]" c="Client 164"/>
        <s v="[TPData].[Client].&amp;[Client 986]" c="Client 986"/>
        <s v="[TPData].[Client].&amp;[Client 89]" c="Client 89"/>
        <s v="[TPData].[Client].&amp;[Client 75]" c="Client 75"/>
        <s v="[TPData].[Client].&amp;[Client 653]" c="Client 653"/>
        <s v="[TPData].[Client].&amp;[Client 640]" c="Client 640"/>
        <s v="[TPData].[Client].&amp;[Client 606]" c="Client 606"/>
        <s v="[TPData].[Client].&amp;[Client 589]" c="Client 589"/>
        <s v="[TPData].[Client].&amp;[Client 581]" c="Client 581"/>
        <s v="[TPData].[Client].&amp;[Client 574]" c="Client 574"/>
        <s v="[TPData].[Client].&amp;[Client 567]" c="Client 567"/>
        <s v="[TPData].[Client].&amp;[Client 524]" c="Client 524"/>
        <s v="[TPData].[Client].&amp;[Client 51]" c="Client 51"/>
        <s v="[TPData].[Client].&amp;[Client 495]" c="Client 495"/>
        <s v="[TPData].[Client].&amp;[Client 48]" c="Client 48"/>
        <s v="[TPData].[Client].&amp;[Client 454]" c="Client 454"/>
        <s v="[TPData].[Client].&amp;[Client 44]" c="Client 44"/>
        <s v="[TPData].[Client].&amp;[Client 424]" c="Client 424"/>
        <s v="[TPData].[Client].&amp;[Client 407]" c="Client 407"/>
        <s v="[TPData].[Client].&amp;[Client 391]" c="Client 391"/>
        <s v="[TPData].[Client].&amp;[Client 333]" c="Client 333"/>
        <s v="[TPData].[Client].&amp;[Client 317]" c="Client 317"/>
        <s v="[TPData].[Client].&amp;[Client 301]" c="Client 301"/>
        <s v="[TPData].[Client].&amp;[Client 285]" c="Client 285"/>
        <s v="[TPData].[Client].&amp;[Client 269]" c="Client 269"/>
        <s v="[TPData].[Client].&amp;[Client 253]" c="Client 253"/>
        <s v="[TPData].[Client].&amp;[Client 237]" c="Client 237"/>
        <s v="[TPData].[Client].&amp;[Client 221]" c="Client 221"/>
        <s v="[TPData].[Client].&amp;[Client 205]" c="Client 205"/>
        <s v="[TPData].[Client].&amp;[Client 182]" c="Client 182"/>
        <s v="[TPData].[Client].&amp;[Client 166]" c="Client 166"/>
        <s v="[TPData].[Client].&amp;[Client 156]" c="Client 156"/>
        <s v="[TPData].[Client].&amp;[Client 152]" c="Client 152"/>
        <s v="[TPData].[Client].&amp;[Client 148]" c="Client 148"/>
        <s v="[TPData].[Client].&amp;[Client 144]" c="Client 144"/>
        <s v="[TPData].[Client].&amp;[Client 140]" c="Client 140"/>
        <s v="[TPData].[Client].&amp;[Client 136]" c="Client 136"/>
        <s v="[TPData].[Client].&amp;[Client 132]" c="Client 132"/>
        <s v="[TPData].[Client].&amp;[Client 128]" c="Client 128"/>
        <s v="[TPData].[Client].&amp;[Client 124]" c="Client 124"/>
        <s v="[TPData].[Client].&amp;[Client 120]" c="Client 120"/>
        <s v="[TPData].[Client].&amp;[Client 116]" c="Client 116"/>
        <s v="[TPData].[Client].&amp;[Client 112]" c="Client 112"/>
        <s v="[TPData].[Client].&amp;[Client 108]" c="Client 108"/>
        <s v="[TPData].[Client].&amp;[Client 104]" c="Client 104"/>
        <s v="[TPData].[Client].&amp;[Client 100]" c="Client 100"/>
        <s v="[TPData].[Client].&amp;[Client 531]" c="Client 531"/>
        <s v="[TPData].[Client].&amp;[Client 517]" c="Client 517"/>
        <s v="[TPData].[Client].&amp;[Client 502]" c="Client 502"/>
        <s v="[TPData].[Client].&amp;[Client 488]" c="Client 488"/>
        <s v="[TPData].[Client].&amp;[Client 461]" c="Client 461"/>
        <s v="[TPData].[Client].&amp;[Client 447]" c="Client 447"/>
        <s v="[TPData].[Client].&amp;[Client 432]" c="Client 432"/>
        <s v="[TPData].[Client].&amp;[Client 415]" c="Client 415"/>
        <s v="[TPData].[Client].&amp;[Client 399]" c="Client 399"/>
        <s v="[TPData].[Client].&amp;[Client 383]" c="Client 383"/>
        <s v="[TPData].[Client].&amp;[Client 325]" c="Client 325"/>
        <s v="[TPData].[Client].&amp;[Client 309]" c="Client 309"/>
        <s v="[TPData].[Client].&amp;[Client 293]" c="Client 293"/>
        <s v="[TPData].[Client].&amp;[Client 277]" c="Client 277"/>
        <s v="[TPData].[Client].&amp;[Client 261]" c="Client 261"/>
        <s v="[TPData].[Client].&amp;[Client 245]" c="Client 245"/>
        <s v="[TPData].[Client].&amp;[Client 229]" c="Client 229"/>
        <s v="[TPData].[Client].&amp;[Client 213]" c="Client 213"/>
        <s v="[TPData].[Client].&amp;[Client 197]" c="Client 197"/>
        <s v="[TPData].[Client].&amp;[Client 174]" c="Client 174"/>
        <s v="[TPData].[Client].&amp;[Client 158]" c="Client 158"/>
        <s v="[TPData].[Client].&amp;[Client 154]" c="Client 154"/>
        <s v="[TPData].[Client].&amp;[Client 150]" c="Client 150"/>
        <s v="[TPData].[Client].&amp;[Client 146]" c="Client 146"/>
        <s v="[TPData].[Client].&amp;[Client 142]" c="Client 142"/>
        <s v="[TPData].[Client].&amp;[Client 138]" c="Client 138"/>
        <s v="[TPData].[Client].&amp;[Client 134]" c="Client 134"/>
        <s v="[TPData].[Client].&amp;[Client 130]" c="Client 130"/>
        <s v="[TPData].[Client].&amp;[Client 126]" c="Client 126"/>
        <s v="[TPData].[Client].&amp;[Client 122]" c="Client 122"/>
        <s v="[TPData].[Client].&amp;[Client 118]" c="Client 118"/>
        <s v="[TPData].[Client].&amp;[Client 114]" c="Client 114"/>
        <s v="[TPData].[Client].&amp;[Client 110]" c="Client 110"/>
        <s v="[TPData].[Client].&amp;[Client 106]" c="Client 106"/>
        <s v="[TPData].[Client].&amp;[Client 102]" c="Client 102"/>
      </sharedItems>
    </cacheField>
  </cacheFields>
  <cacheHierarchies count="15">
    <cacheHierarchy uniqueName="[Measures]" caption="Measures" attribute="1" keyAttribute="1" defaultMemberUniqueName="[Measures].[__No measures defined]" dimensionUniqueName="[Measures]" displayFolder="" measures="1" count="1" memberValueDatatype="130" unbalanced="0">
      <fieldsUsage count="1">
        <fieldUsage x="2"/>
      </fieldsUsage>
    </cacheHierarchy>
    <cacheHierarchy uniqueName="[TPData].[Client]" caption="Client" attribute="1" defaultMemberUniqueName="[TPData].[Client].[All]" allUniqueName="[TPData].[Client].[All]" allCaption="All" dimensionUniqueName="[TPData]" displayFolder="" count="2" memberValueDatatype="130" unbalanced="0">
      <fieldsUsage count="2">
        <fieldUsage x="-1"/>
        <fieldUsage x="3"/>
      </fieldsUsage>
    </cacheHierarchy>
    <cacheHierarchy uniqueName="[TPData].[Currency]" caption="Currency" attribute="1" defaultMemberUniqueName="[TPData].[Currency].[All]" allUniqueName="[TPData].[Currency].[All]" dimensionUniqueName="[TPData]" displayFolder="" count="2" memberValueDatatype="130" unbalanced="0"/>
    <cacheHierarchy uniqueName="[TPData].[Annual Contract Value (ACV)]" caption="Annual Contract Value (ACV)" attribute="1" defaultMemberUniqueName="[TPData].[Annual Contract Value (ACV)].[All]" allUniqueName="[TPData].[Annual Contract Value (ACV)].[All]" dimensionUniqueName="[TPData]" displayFolder="" count="2" memberValueDatatype="5" unbalanced="0"/>
    <cacheHierarchy uniqueName="[TPData].[Montly Contract Value]" caption="Montly Contract Value" attribute="1" defaultMemberUniqueName="[TPData].[Montly Contract Value].[All]" allUniqueName="[TPData].[Montly Contract Value].[All]" dimensionUniqueName="[TPData]" displayFolder="" count="2" memberValueDatatype="5" unbalanced="0"/>
    <cacheHierarchy uniqueName="[TPData].[Close Month]" caption="Close Month" attribute="1" time="1" defaultMemberUniqueName="[TPData].[Close Month].[All]" allUniqueName="[TPData].[Close Month].[All]" allCaption="All" dimensionUniqueName="[TPData]" displayFolder="" count="2" memberValueDatatype="7" unbalanced="0">
      <fieldsUsage count="2">
        <fieldUsage x="-1"/>
        <fieldUsage x="0"/>
      </fieldsUsage>
    </cacheHierarchy>
    <cacheHierarchy uniqueName="[TPData].[Sales Rep]" caption="Sales Rep" attribute="1" defaultMemberUniqueName="[TPData].[Sales Rep].[All]" allUniqueName="[TPData].[Sales Rep].[All]" dimensionUniqueName="[TPData]" displayFolder="" count="2" memberValueDatatype="130" unbalanced="0"/>
    <cacheHierarchy uniqueName="[TPData].[Deal Size]" caption="Deal Size" attribute="1" defaultMemberUniqueName="[TPData].[Deal Size].[All]" allUniqueName="[TPData].[Deal Size].[All]" allCaption="All" dimensionUniqueName="[TPData]" displayFolder="" count="2" memberValueDatatype="130" unbalanced="0">
      <fieldsUsage count="2">
        <fieldUsage x="-1"/>
        <fieldUsage x="1"/>
      </fieldsUsage>
    </cacheHierarchy>
    <cacheHierarchy uniqueName="[Measures].[__XL_Count TPData]" caption="__XL_Count TPData" measure="1" displayFolder="" measureGroup="TPData" count="0" hidden="1"/>
    <cacheHierarchy uniqueName="[Measures].[__No measures defined]" caption="__No measures defined" measure="1" displayFolder="" count="0" hidden="1"/>
    <cacheHierarchy uniqueName="[Measures].[Sum of Montly Contract Value]" caption="Sum of Montly Contract Value" measure="1" displayFolder="" measureGroup="TPData" count="0" hidden="1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Sum of Annual Contract Value (ACV)]" caption="Sum of Annual Contract Value (ACV)" measure="1" displayFolder="" measureGroup="TPData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Count of Sales Rep]" caption="Count of Sales Rep" measure="1" displayFolder="" measureGroup="TPData" count="0" hidden="1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Count of Client]" caption="Count of Client" measure="1" displayFolder="" measureGroup="TPData" count="0" hidden="1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Average of Annual Contract Value (ACV)]" caption="Average of Annual Contract Value (ACV)" measure="1" displayFolder="" measureGroup="TPData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</cacheHierarchies>
  <kpis count="0"/>
  <tupleCache>
    <entries count="657">
      <n v="311048.21039999998">
        <tpls c="3">
          <tpl fld="2" item="0"/>
          <tpl fld="0" item="9"/>
          <tpl hier="7" item="4294967295"/>
        </tpls>
      </n>
      <n v="319805.84060000005">
        <tpls c="3">
          <tpl fld="2" item="0"/>
          <tpl fld="0" item="3"/>
          <tpl hier="7" item="4294967295"/>
        </tpls>
      </n>
      <n v="180878.96184000003">
        <tpls c="3">
          <tpl fld="2" item="0"/>
          <tpl fld="0" item="4"/>
          <tpl hier="7" item="4294967295"/>
        </tpls>
      </n>
      <n v="137688.62">
        <tpls c="3">
          <tpl fld="2" item="0"/>
          <tpl fld="0" item="10"/>
          <tpl fld="1" item="1"/>
        </tpls>
      </n>
      <n v="107300.7444">
        <tpls c="3">
          <tpl fld="2" item="0"/>
          <tpl fld="0" item="5"/>
          <tpl fld="1" item="1"/>
        </tpls>
      </n>
      <n v="58119.380735999999">
        <tpls c="3">
          <tpl fld="2" item="0"/>
          <tpl fld="0" item="11"/>
          <tpl fld="1" item="1"/>
        </tpls>
      </n>
      <n v="105613.04000000001">
        <tpls c="3">
          <tpl fld="2" item="0"/>
          <tpl fld="0" item="9"/>
          <tpl fld="1" item="2"/>
        </tpls>
      </n>
      <n v="98167.12">
        <tpls c="3">
          <tpl fld="2" item="0"/>
          <tpl fld="0" item="3"/>
          <tpl fld="1" item="2"/>
        </tpls>
      </n>
      <n v="45334.8">
        <tpls c="3">
          <tpl fld="2" item="0"/>
          <tpl fld="0" item="4"/>
          <tpl fld="1" item="2"/>
        </tpls>
      </n>
      <n v="538398.10879999993">
        <tpls c="3">
          <tpl fld="2" item="0"/>
          <tpl hier="5" item="4294967295"/>
          <tpl fld="1" item="3"/>
        </tpls>
      </n>
      <n v="119442.72">
        <tpls c="3">
          <tpl fld="2" item="0"/>
          <tpl fld="0" item="0"/>
          <tpl fld="1" item="3"/>
        </tpls>
      </n>
      <m>
        <tpls c="3">
          <tpl fld="2" item="0"/>
          <tpl fld="0" item="1"/>
          <tpl fld="1" item="3"/>
        </tpls>
      </m>
      <n v="20000">
        <tpls c="3">
          <tpl fld="2" item="0"/>
          <tpl fld="0" item="2"/>
          <tpl fld="1" item="3"/>
        </tpls>
      </n>
      <n v="296156.83440000005">
        <tpls c="3">
          <tpl fld="2" item="0"/>
          <tpl fld="0" item="10"/>
          <tpl hier="7" item="4294967295"/>
        </tpls>
      </n>
      <n v="48191.426999999996">
        <tpls c="3">
          <tpl fld="2" item="0"/>
          <tpl fld="0" item="3"/>
          <tpl fld="1" item="0"/>
        </tpls>
      </n>
      <n v="1083232.7160319998">
        <tpls c="3">
          <tpl fld="2" item="0"/>
          <tpl hier="5" item="4294967295"/>
          <tpl fld="1" item="1"/>
        </tpls>
      </n>
      <n v="88554.241199999989">
        <tpls c="3">
          <tpl fld="2" item="0"/>
          <tpl fld="0" item="1"/>
          <tpl fld="1" item="1"/>
        </tpls>
      </n>
      <n v="98666.176000000007">
        <tpls c="3">
          <tpl fld="2" item="0"/>
          <tpl fld="0" item="10"/>
          <tpl fld="1" item="2"/>
        </tpls>
      </n>
      <n v="12408">
        <tpls c="3">
          <tpl fld="2" item="0"/>
          <tpl fld="0" item="11"/>
          <tpl fld="1" item="2"/>
        </tpls>
      </n>
      <n v="24010.800000000003">
        <tpls c="3">
          <tpl fld="2" item="0"/>
          <tpl fld="0" item="6"/>
          <tpl fld="1" item="3"/>
        </tpls>
      </n>
      <n v="34">
        <tpls c="3">
          <tpl fld="2" item="1"/>
          <tpl fld="0" item="0"/>
          <tpl fld="1" item="0"/>
        </tpls>
      </n>
      <n v="22">
        <tpls c="3">
          <tpl fld="2" item="1"/>
          <tpl fld="0" item="2"/>
          <tpl fld="1" item="0"/>
        </tpls>
      </n>
      <n v="18">
        <tpls c="3">
          <tpl fld="2" item="1"/>
          <tpl fld="0" item="9"/>
          <tpl fld="1" item="1"/>
        </tpls>
      </n>
      <n v="9">
        <tpls c="3">
          <tpl fld="2" item="1"/>
          <tpl fld="0" item="3"/>
          <tpl fld="1" item="1"/>
        </tpls>
      </n>
      <n v="11">
        <tpls c="3">
          <tpl fld="2" item="1"/>
          <tpl fld="0" item="4"/>
          <tpl fld="1" item="1"/>
        </tpls>
      </n>
      <m>
        <tpls c="3">
          <tpl fld="2" item="1"/>
          <tpl fld="0" item="10"/>
          <tpl fld="1" item="3"/>
        </tpls>
      </m>
      <n v="2">
        <tpls c="3">
          <tpl fld="2" item="1"/>
          <tpl fld="0" item="5"/>
          <tpl fld="1" item="3"/>
        </tpls>
      </n>
      <n v="1">
        <tpls c="3">
          <tpl fld="2" item="1"/>
          <tpl fld="0" item="11"/>
          <tpl fld="1" item="3"/>
        </tpls>
      </n>
      <n v="44">
        <tpls c="3">
          <tpl fld="2" item="1"/>
          <tpl fld="0" item="9"/>
          <tpl hier="7" item="4294967295"/>
        </tpls>
      </n>
      <n v="18">
        <tpls c="3">
          <tpl fld="2" item="1"/>
          <tpl fld="0" item="7"/>
          <tpl fld="1" item="0"/>
        </tpls>
      </n>
      <n v="20">
        <tpls c="3">
          <tpl fld="2" item="1"/>
          <tpl fld="0" item="10"/>
          <tpl fld="1" item="1"/>
        </tpls>
      </n>
      <n v="16">
        <tpls c="3">
          <tpl fld="2" item="1"/>
          <tpl fld="0" item="5"/>
          <tpl fld="1" item="1"/>
        </tpls>
      </n>
      <n v="8">
        <tpls c="3">
          <tpl fld="2" item="1"/>
          <tpl fld="0" item="9"/>
          <tpl fld="1" item="2"/>
        </tpls>
      </n>
      <n v="3">
        <tpls c="3">
          <tpl fld="2" item="1"/>
          <tpl fld="0" item="4"/>
          <tpl fld="1" item="2"/>
        </tpls>
      </n>
      <n v="13">
        <tpls c="3">
          <tpl fld="2" item="1"/>
          <tpl fld="0" item="1"/>
          <tpl fld="1" item="0"/>
        </tpls>
      </n>
      <n v="53">
        <tpls c="3">
          <tpl fld="2" item="1"/>
          <tpl fld="0" item="10"/>
          <tpl hier="7" item="4294967295"/>
        </tpls>
      </n>
      <n v="5500">
        <tpls c="3">
          <tpl fld="2" item="0"/>
          <tpl fld="3" item="6"/>
          <tpl fld="0" item="9"/>
        </tpls>
      </n>
      <n v="2820">
        <tpls c="3">
          <tpl fld="2" item="0"/>
          <tpl fld="3" item="265"/>
          <tpl fld="0" item="2"/>
        </tpls>
      </n>
      <n v="3030">
        <tpls c="3">
          <tpl fld="2" item="0"/>
          <tpl fld="3" item="273"/>
          <tpl fld="0" item="10"/>
        </tpls>
      </n>
      <n v="15680.0784">
        <tpls c="3">
          <tpl fld="2" item="0"/>
          <tpl fld="3" item="372"/>
          <tpl fld="0" item="2"/>
        </tpls>
      </n>
      <n v="5820">
        <tpls c="3">
          <tpl fld="2" item="0"/>
          <tpl fld="3" item="385"/>
          <tpl fld="0" item="5"/>
        </tpls>
      </n>
      <n v="2820">
        <tpls c="3">
          <tpl fld="2" item="0"/>
          <tpl fld="3" item="391"/>
          <tpl fld="0" item="4"/>
        </tpls>
      </n>
      <n v="9752">
        <tpls c="3">
          <tpl fld="2" item="0"/>
          <tpl fld="3" item="394"/>
          <tpl fld="0" item="2"/>
        </tpls>
      </n>
      <n v="7452">
        <tpls c="3">
          <tpl fld="2" item="0"/>
          <tpl fld="3" item="59"/>
          <tpl fld="0" item="11"/>
        </tpls>
      </n>
      <n v="2144.2800000000002">
        <tpls c="3">
          <tpl fld="2" item="0"/>
          <tpl fld="3" item="395"/>
          <tpl fld="0" item="11"/>
        </tpls>
      </n>
      <n v="4888.8">
        <tpls c="3">
          <tpl fld="2" item="0"/>
          <tpl fld="3" item="13"/>
          <tpl fld="0" item="2"/>
        </tpls>
      </n>
      <n v="3924.0000000000005">
        <tpls c="3">
          <tpl fld="2" item="0"/>
          <tpl fld="3" item="20"/>
          <tpl fld="0" item="0"/>
        </tpls>
      </n>
      <n v="1365">
        <tpls c="3">
          <tpl fld="2" item="0"/>
          <tpl fld="3" item="67"/>
          <tpl fld="0" item="5"/>
        </tpls>
      </n>
      <n v="1980.0395999999998">
        <tpls c="3">
          <tpl fld="2" item="0"/>
          <tpl fld="3" item="397"/>
          <tpl fld="0" item="6"/>
        </tpls>
      </n>
      <n v="1272">
        <tpls c="3">
          <tpl fld="2" item="0"/>
          <tpl fld="3" item="29"/>
          <tpl fld="0" item="10"/>
        </tpls>
      </n>
      <n v="9700.0776000000005">
        <tpls c="3">
          <tpl fld="2" item="0"/>
          <tpl fld="3" item="398"/>
          <tpl fld="0" item="3"/>
        </tpls>
      </n>
      <n v="6147.9576000000006">
        <tpls c="3">
          <tpl fld="2" item="0"/>
          <tpl fld="3" item="36"/>
          <tpl fld="0" item="5"/>
        </tpls>
      </n>
      <n v="3090">
        <tpls c="3">
          <tpl fld="2" item="0"/>
          <tpl fld="3" item="38"/>
          <tpl fld="0" item="1"/>
        </tpls>
      </n>
      <n v="1284">
        <tpls c="3">
          <tpl fld="2" item="0"/>
          <tpl fld="3" item="75"/>
          <tpl fld="0" item="8"/>
        </tpls>
      </n>
      <n v="3628.8">
        <tpls c="3">
          <tpl fld="2" item="0"/>
          <tpl fld="3" item="399"/>
          <tpl fld="0" item="6"/>
        </tpls>
      </n>
      <n v="6180">
        <tpls c="3">
          <tpl fld="2" item="0"/>
          <tpl fld="3" item="45"/>
          <tpl fld="0" item="9"/>
        </tpls>
      </n>
      <n v="5533.1618400000007">
        <tpls c="3">
          <tpl fld="2" item="0"/>
          <tpl fld="3" item="52"/>
          <tpl fld="0" item="4"/>
        </tpls>
      </n>
      <n v="970">
        <tpls c="3">
          <tpl fld="2" item="0"/>
          <tpl fld="3" item="84"/>
          <tpl fld="0" item="8"/>
        </tpls>
      </n>
      <n v="2910">
        <tpls c="3">
          <tpl fld="2" item="0"/>
          <tpl fld="3" item="402"/>
          <tpl fld="0" item="0"/>
        </tpls>
      </n>
      <n v="7425">
        <tpls c="3">
          <tpl fld="2" item="0"/>
          <tpl fld="3" item="88"/>
          <tpl fld="0" item="7"/>
        </tpls>
      </n>
      <n v="1092">
        <tpls c="3">
          <tpl fld="2" item="0"/>
          <tpl fld="3" item="92"/>
          <tpl fld="0" item="5"/>
        </tpls>
      </n>
      <n v="3852">
        <tpls c="3">
          <tpl fld="2" item="0"/>
          <tpl fld="3" item="404"/>
          <tpl fld="0" item="1"/>
        </tpls>
      </n>
      <n v="570">
        <tpls c="3">
          <tpl fld="2" item="0"/>
          <tpl fld="3" item="96"/>
          <tpl fld="0" item="8"/>
        </tpls>
      </n>
      <n v="2880">
        <tpls c="3">
          <tpl fld="2" item="0"/>
          <tpl fld="3" item="405"/>
          <tpl fld="0" item="4"/>
        </tpls>
      </n>
      <n v="1113.8399999999999">
        <tpls c="3">
          <tpl fld="2" item="0"/>
          <tpl fld="3" item="100"/>
          <tpl fld="0" item="6"/>
        </tpls>
      </n>
      <n v="2568">
        <tpls c="3">
          <tpl fld="2" item="0"/>
          <tpl fld="3" item="406"/>
          <tpl fld="0" item="4"/>
        </tpls>
      </n>
      <n v="1710">
        <tpls c="3">
          <tpl fld="2" item="0"/>
          <tpl fld="3" item="104"/>
          <tpl fld="0" item="6"/>
        </tpls>
      </n>
      <n v="6300.0504000000001">
        <tpls c="3">
          <tpl fld="2" item="0"/>
          <tpl fld="3" item="407"/>
          <tpl fld="0" item="9"/>
        </tpls>
      </n>
      <n v="662.4">
        <tpls c="3">
          <tpl fld="2" item="0"/>
          <tpl fld="3" item="108"/>
          <tpl fld="0" item="10"/>
        </tpls>
      </n>
      <n v="6350.4">
        <tpls c="3">
          <tpl fld="2" item="0"/>
          <tpl fld="3" item="408"/>
          <tpl fld="0" item="10"/>
        </tpls>
      </n>
      <n v="3816">
        <tpls c="3">
          <tpl fld="2" item="0"/>
          <tpl fld="3" item="112"/>
          <tpl fld="0" item="0"/>
        </tpls>
      </n>
      <n v="2842.84944">
        <tpls c="3">
          <tpl fld="2" item="0"/>
          <tpl fld="3" item="116"/>
          <tpl fld="0" item="3"/>
        </tpls>
      </n>
      <n v="10281.6">
        <tpls c="3">
          <tpl fld="2" item="0"/>
          <tpl fld="3" item="410"/>
          <tpl fld="0" item="5"/>
        </tpls>
      </n>
      <n v="17962.559999999998">
        <tpls c="3">
          <tpl fld="2" item="0"/>
          <tpl fld="3" item="120"/>
          <tpl fld="0" item="1"/>
        </tpls>
      </n>
      <n v="1526.3999999999999">
        <tpls c="3">
          <tpl fld="2" item="0"/>
          <tpl fld="3" item="124"/>
          <tpl fld="0" item="8"/>
        </tpls>
      </n>
      <n v="15120">
        <tpls c="3">
          <tpl fld="2" item="0"/>
          <tpl fld="3" item="412"/>
          <tpl fld="0" item="4"/>
        </tpls>
      </n>
      <n v="3528">
        <tpls c="3">
          <tpl fld="2" item="0"/>
          <tpl fld="3" item="128"/>
          <tpl fld="0" item="11"/>
        </tpls>
      </n>
      <n v="1926">
        <tpls c="3">
          <tpl fld="2" item="0"/>
          <tpl fld="3" item="413"/>
          <tpl fld="0" item="6"/>
        </tpls>
      </n>
      <n v="5520">
        <tpls c="3">
          <tpl fld="2" item="0"/>
          <tpl fld="3" item="132"/>
          <tpl fld="0" item="9"/>
        </tpls>
      </n>
      <n v="6240">
        <tpls c="3">
          <tpl fld="2" item="0"/>
          <tpl fld="3" item="414"/>
          <tpl fld="0" item="2"/>
        </tpls>
      </n>
      <n v="31104.000000000004">
        <tpls c="3">
          <tpl fld="2" item="0"/>
          <tpl fld="3" item="136"/>
          <tpl fld="0" item="0"/>
        </tpls>
      </n>
      <n v="1470">
        <tpls c="3">
          <tpl fld="2" item="0"/>
          <tpl fld="3" item="415"/>
          <tpl fld="0" item="0"/>
        </tpls>
      </n>
      <n v="7200">
        <tpls c="3">
          <tpl fld="2" item="0"/>
          <tpl fld="3" item="140"/>
          <tpl fld="0" item="7"/>
        </tpls>
      </n>
      <n v="2280">
        <tpls c="3">
          <tpl fld="2" item="0"/>
          <tpl fld="3" item="416"/>
          <tpl fld="0" item="7"/>
        </tpls>
      </n>
      <n v="2160">
        <tpls c="3">
          <tpl fld="2" item="0"/>
          <tpl fld="3" item="144"/>
          <tpl fld="0" item="5"/>
        </tpls>
      </n>
      <n v="5022">
        <tpls c="3">
          <tpl fld="2" item="0"/>
          <tpl fld="3" item="148"/>
          <tpl fld="0" item="5"/>
        </tpls>
      </n>
      <n v="3528">
        <tpls c="3">
          <tpl fld="2" item="0"/>
          <tpl fld="3" item="418"/>
          <tpl fld="0" item="8"/>
        </tpls>
      </n>
      <n v="1890">
        <tpls c="3">
          <tpl fld="2" item="0"/>
          <tpl fld="3" item="152"/>
          <tpl fld="0" item="4"/>
        </tpls>
      </n>
      <n v="2246.4">
        <tpls c="3">
          <tpl fld="2" item="0"/>
          <tpl fld="3" item="156"/>
          <tpl fld="0" item="9"/>
        </tpls>
      </n>
      <n v="5042.5200000000004">
        <tpls c="3">
          <tpl fld="2" item="0"/>
          <tpl fld="3" item="420"/>
          <tpl fld="0" item="9"/>
        </tpls>
      </n>
      <n v="4354.5600000000004">
        <tpls c="3">
          <tpl fld="2" item="0"/>
          <tpl fld="3" item="160"/>
          <tpl fld="0" item="10"/>
        </tpls>
      </n>
      <n v="7416">
        <tpls c="3">
          <tpl fld="2" item="0"/>
          <tpl fld="3" item="421"/>
          <tpl fld="0" item="10"/>
        </tpls>
      </n>
      <n v="7931.52">
        <tpls c="3">
          <tpl fld="2" item="0"/>
          <tpl fld="3" item="164"/>
          <tpl fld="0" item="0"/>
        </tpls>
      </n>
      <n v="18468">
        <tpls c="3">
          <tpl fld="2" item="0"/>
          <tpl fld="3" item="422"/>
          <tpl fld="0" item="0"/>
        </tpls>
      </n>
      <n v="2514.2400000000002">
        <tpls c="3">
          <tpl fld="2" item="0"/>
          <tpl fld="3" item="168"/>
          <tpl fld="0" item="1"/>
        </tpls>
      </n>
      <n v="7128.0000000000009">
        <tpls c="3">
          <tpl fld="2" item="0"/>
          <tpl fld="3" item="423"/>
          <tpl fld="0" item="8"/>
        </tpls>
      </n>
      <n v="7581.6466559999999">
        <tpls c="3">
          <tpl fld="2" item="0"/>
          <tpl fld="3" item="172"/>
          <tpl fld="0" item="11"/>
        </tpls>
      </n>
      <n v="4976.6399999999994">
        <tpls c="3">
          <tpl fld="2" item="0"/>
          <tpl fld="3" item="424"/>
          <tpl fld="0" item="2"/>
        </tpls>
      </n>
      <n v="4752">
        <tpls c="3">
          <tpl fld="2" item="0"/>
          <tpl fld="3" item="176"/>
          <tpl fld="0" item="9"/>
        </tpls>
      </n>
      <n v="7848.0000000000009">
        <tpls c="3">
          <tpl fld="2" item="0"/>
          <tpl fld="3" item="180"/>
          <tpl fld="0" item="10"/>
        </tpls>
      </n>
      <n v="9240">
        <tpls c="3">
          <tpl fld="2" item="0"/>
          <tpl fld="3" item="426"/>
          <tpl fld="0" item="0"/>
        </tpls>
      </n>
      <n v="4608">
        <tpls c="3">
          <tpl fld="2" item="0"/>
          <tpl fld="3" item="184"/>
          <tpl fld="0" item="7"/>
        </tpls>
      </n>
      <n v="13160.0376">
        <tpls c="3">
          <tpl fld="2" item="0"/>
          <tpl fld="3" item="188"/>
          <tpl fld="0" item="5"/>
        </tpls>
      </n>
      <n v="5670">
        <tpls c="3">
          <tpl fld="2" item="0"/>
          <tpl fld="3" item="428"/>
          <tpl fld="0" item="5"/>
        </tpls>
      </n>
      <n v="3300.0000000000005">
        <tpls c="3">
          <tpl fld="2" item="0"/>
          <tpl fld="3" item="192"/>
          <tpl fld="0" item="1"/>
        </tpls>
      </n>
      <n v="3120">
        <tpls c="3">
          <tpl fld="2" item="0"/>
          <tpl fld="3" item="429"/>
          <tpl fld="0" item="8"/>
        </tpls>
      </n>
      <n v="1458">
        <tpls c="3">
          <tpl fld="2" item="0"/>
          <tpl fld="3" item="196"/>
          <tpl fld="0" item="11"/>
        </tpls>
      </n>
      <n v="1638">
        <tpls c="3">
          <tpl fld="2" item="0"/>
          <tpl fld="3" item="430"/>
          <tpl fld="0" item="2"/>
        </tpls>
      </n>
      <n v="2781">
        <tpls c="3">
          <tpl fld="2" item="0"/>
          <tpl fld="3" item="200"/>
          <tpl fld="0" item="9"/>
        </tpls>
      </n>
      <n v="5961.6">
        <tpls c="3">
          <tpl fld="2" item="0"/>
          <tpl fld="3" item="431"/>
          <tpl fld="0" item="10"/>
        </tpls>
      </n>
      <n v="3207.6">
        <tpls c="3">
          <tpl fld="2" item="0"/>
          <tpl fld="3" item="204"/>
          <tpl fld="0" item="10"/>
        </tpls>
      </n>
      <n v="4519.8">
        <tpls c="3">
          <tpl fld="2" item="0"/>
          <tpl fld="3" item="432"/>
          <tpl fld="0" item="0"/>
        </tpls>
      </n>
      <n v="6624">
        <tpls c="3">
          <tpl fld="2" item="0"/>
          <tpl fld="3" item="208"/>
          <tpl fld="0" item="7"/>
        </tpls>
      </n>
      <n v="3888">
        <tpls c="3">
          <tpl fld="2" item="0"/>
          <tpl fld="3" item="212"/>
          <tpl fld="0" item="5"/>
        </tpls>
      </n>
      <n v="2368.7999999999997">
        <tpls c="3">
          <tpl fld="2" item="0"/>
          <tpl fld="3" item="434"/>
          <tpl fld="0" item="4"/>
        </tpls>
      </n>
      <n v="2116.8423360000002">
        <tpls c="3">
          <tpl fld="2" item="0"/>
          <tpl fld="3" item="216"/>
          <tpl fld="0" item="6"/>
        </tpls>
      </n>
      <n v="8398.08">
        <tpls c="3">
          <tpl fld="2" item="0"/>
          <tpl fld="3" item="220"/>
          <tpl fld="0" item="10"/>
        </tpls>
      </n>
      <n v="12700.8">
        <tpls c="3">
          <tpl fld="2" item="0"/>
          <tpl fld="3" item="436"/>
          <tpl fld="0" item="0"/>
        </tpls>
      </n>
      <n v="15390">
        <tpls c="3">
          <tpl fld="2" item="0"/>
          <tpl fld="3" item="224"/>
          <tpl fld="0" item="0"/>
        </tpls>
      </n>
      <n v="3337.2">
        <tpls c="3">
          <tpl fld="2" item="0"/>
          <tpl fld="3" item="437"/>
          <tpl fld="0" item="7"/>
        </tpls>
      </n>
      <n v="1944">
        <tpls c="3">
          <tpl fld="2" item="0"/>
          <tpl fld="3" item="228"/>
          <tpl fld="0" item="3"/>
        </tpls>
      </n>
      <n v="1123.2">
        <tpls c="3">
          <tpl fld="2" item="0"/>
          <tpl fld="3" item="438"/>
          <tpl fld="0" item="1"/>
        </tpls>
      </n>
      <n v="12474">
        <tpls c="3">
          <tpl fld="2" item="0"/>
          <tpl fld="3" item="232"/>
          <tpl fld="0" item="1"/>
        </tpls>
      </n>
      <n v="5896.8">
        <tpls c="3">
          <tpl fld="2" item="0"/>
          <tpl fld="3" item="439"/>
          <tpl fld="0" item="8"/>
        </tpls>
      </n>
      <n v="2256">
        <tpls c="3">
          <tpl fld="2" item="0"/>
          <tpl fld="3" item="236"/>
          <tpl fld="0" item="4"/>
        </tpls>
      </n>
      <n v="3060">
        <tpls c="3">
          <tpl fld="2" item="0"/>
          <tpl fld="3" item="440"/>
          <tpl fld="0" item="4"/>
        </tpls>
      </n>
      <n v="4860">
        <tpls c="3">
          <tpl fld="2" item="0"/>
          <tpl fld="3" item="240"/>
          <tpl fld="0" item="4"/>
        </tpls>
      </n>
      <n v="3744">
        <tpls c="3">
          <tpl fld="2" item="0"/>
          <tpl fld="3" item="244"/>
          <tpl fld="0" item="11"/>
        </tpls>
      </n>
      <n v="20000">
        <tpls c="3">
          <tpl fld="2" item="0"/>
          <tpl fld="3" item="442"/>
          <tpl fld="0" item="2"/>
        </tpls>
      </n>
      <n v="2247">
        <tpls c="3">
          <tpl fld="2" item="0"/>
          <tpl fld="3" item="248"/>
          <tpl fld="0" item="2"/>
        </tpls>
      </n>
      <n v="3210">
        <tpls c="3">
          <tpl fld="2" item="0"/>
          <tpl fld="3" item="252"/>
          <tpl fld="0" item="5"/>
        </tpls>
      </n>
      <n v="11404.8">
        <tpls c="3">
          <tpl fld="2" item="0"/>
          <tpl fld="3" item="444"/>
          <tpl fld="0" item="1"/>
        </tpls>
      </n>
      <n v="6840">
        <tpls c="3">
          <tpl fld="2" item="0"/>
          <tpl fld="3" item="256"/>
          <tpl fld="0" item="1"/>
        </tpls>
      </n>
      <n v="3300.0000000000005">
        <tpls c="3">
          <tpl fld="2" item="0"/>
          <tpl fld="3" item="260"/>
          <tpl fld="0" item="8"/>
        </tpls>
      </n>
      <n v="972.00000000000011">
        <tpls c="3">
          <tpl fld="2" item="0"/>
          <tpl fld="3" item="396"/>
          <tpl fld="0" item="0"/>
        </tpls>
      </n>
      <n v="8066.5199999999995">
        <tpls c="3">
          <tpl fld="2" item="0"/>
          <tpl fld="3" item="400"/>
          <tpl fld="0" item="8"/>
        </tpls>
      </n>
      <n v="17820">
        <tpls c="3">
          <tpl fld="2" item="0"/>
          <tpl fld="3" item="403"/>
          <tpl fld="0" item="8"/>
        </tpls>
      </n>
      <n v="7776">
        <tpls c="3">
          <tpl fld="2" item="0"/>
          <tpl fld="3" item="411"/>
          <tpl fld="0" item="8"/>
        </tpls>
      </n>
      <n v="2592">
        <tpls c="3">
          <tpl fld="2" item="0"/>
          <tpl fld="3" item="419"/>
          <tpl fld="0" item="11"/>
        </tpls>
      </n>
      <n v="1272">
        <tpls c="3">
          <tpl fld="2" item="0"/>
          <tpl fld="3" item="427"/>
          <tpl fld="0" item="7"/>
        </tpls>
      </n>
      <n v="2060.64">
        <tpls c="3">
          <tpl fld="2" item="0"/>
          <tpl fld="3" item="435"/>
          <tpl fld="0" item="6"/>
        </tpls>
      </n>
      <n v="7632">
        <tpls c="3">
          <tpl fld="2" item="0"/>
          <tpl fld="3" item="249"/>
          <tpl fld="0" item="0"/>
        </tpls>
      </n>
      <n v="6360">
        <tpls c="3">
          <tpl fld="2" item="0"/>
          <tpl fld="3" item="367"/>
          <tpl fld="0" item="4"/>
        </tpls>
      </n>
      <n v="24010.800000000003">
        <tpls c="3">
          <tpl fld="2" item="0"/>
          <tpl fld="3" item="374"/>
          <tpl fld="0" item="6"/>
        </tpls>
      </n>
      <n v="8064">
        <tpls c="3">
          <tpl fld="2" item="0"/>
          <tpl fld="3" item="380"/>
          <tpl fld="0" item="0"/>
        </tpls>
      </n>
      <n v="1104">
        <tpls c="3">
          <tpl fld="2" item="0"/>
          <tpl fld="3" item="387"/>
          <tpl fld="0" item="1"/>
        </tpls>
      </n>
      <n v="14250">
        <tpls c="3">
          <tpl fld="2" item="0"/>
          <tpl fld="3" item="446"/>
          <tpl fld="0" item="9"/>
        </tpls>
      </n>
      <n v="2304">
        <tpls c="3">
          <tpl fld="2" item="0"/>
          <tpl fld="3" item="8"/>
          <tpl fld="0" item="11"/>
        </tpls>
      </n>
      <n v="7485">
        <tpls c="3">
          <tpl fld="2" item="0"/>
          <tpl fld="3" item="10"/>
          <tpl fld="0" item="9"/>
        </tpls>
      </n>
      <n v="12500">
        <tpls c="3">
          <tpl fld="2" item="0"/>
          <tpl fld="3" item="61"/>
          <tpl fld="0" item="2"/>
        </tpls>
      </n>
      <n v="6000">
        <tpls c="3">
          <tpl fld="2" item="0"/>
          <tpl fld="3" item="447"/>
          <tpl fld="0" item="2"/>
        </tpls>
      </n>
      <n v="5292">
        <tpls c="3">
          <tpl fld="2" item="0"/>
          <tpl fld="3" item="17"/>
          <tpl fld="0" item="9"/>
        </tpls>
      </n>
      <n v="13200">
        <tpls c="3">
          <tpl fld="2" item="0"/>
          <tpl fld="3" item="448"/>
          <tpl fld="0" item="3"/>
        </tpls>
      </n>
      <n v="10584">
        <tpls c="3">
          <tpl fld="2" item="0"/>
          <tpl fld="3" item="24"/>
          <tpl fld="0" item="3"/>
        </tpls>
      </n>
      <n v="5999.4000000000005">
        <tpls c="3">
          <tpl fld="2" item="0"/>
          <tpl fld="3" item="26"/>
          <tpl fld="0" item="5"/>
        </tpls>
      </n>
      <n v="6666">
        <tpls c="3">
          <tpl fld="2" item="0"/>
          <tpl fld="3" item="69"/>
          <tpl fld="0" item="10"/>
        </tpls>
      </n>
      <n v="13332">
        <tpls c="3">
          <tpl fld="2" item="0"/>
          <tpl fld="3" item="449"/>
          <tpl fld="0" item="0"/>
        </tpls>
      </n>
      <n v="4608">
        <tpls c="3">
          <tpl fld="2" item="0"/>
          <tpl fld="3" item="33"/>
          <tpl fld="0" item="7"/>
        </tpls>
      </n>
      <n v="11040">
        <tpls c="3">
          <tpl fld="2" item="0"/>
          <tpl fld="3" item="450"/>
          <tpl fld="0" item="1"/>
        </tpls>
      </n>
      <n v="6624">
        <tpls c="3">
          <tpl fld="2" item="0"/>
          <tpl fld="3" item="40"/>
          <tpl fld="0" item="8"/>
        </tpls>
      </n>
      <n v="5040">
        <tpls c="3">
          <tpl fld="2" item="0"/>
          <tpl fld="3" item="42"/>
          <tpl fld="0" item="6"/>
        </tpls>
      </n>
      <n v="7488">
        <tpls c="3">
          <tpl fld="2" item="0"/>
          <tpl fld="3" item="77"/>
          <tpl fld="0" item="8"/>
        </tpls>
      </n>
      <n v="2820">
        <tpls c="3">
          <tpl fld="2" item="0"/>
          <tpl fld="3" item="451"/>
          <tpl fld="0" item="0"/>
        </tpls>
      </n>
      <n v="6480">
        <tpls c="3">
          <tpl fld="2" item="0"/>
          <tpl fld="3" item="49"/>
          <tpl fld="0" item="3"/>
        </tpls>
      </n>
      <n v="2328">
        <tpls c="3">
          <tpl fld="2" item="0"/>
          <tpl fld="3" item="83"/>
          <tpl fld="0" item="10"/>
        </tpls>
      </n>
      <n v="7896">
        <tpls c="3">
          <tpl fld="2" item="0"/>
          <tpl fld="3" item="452"/>
          <tpl fld="0" item="10"/>
        </tpls>
      </n>
      <n v="1116">
        <tpls c="3">
          <tpl fld="2" item="0"/>
          <tpl fld="3" item="87"/>
          <tpl fld="0" item="0"/>
        </tpls>
      </n>
      <n v="5250.0420000000004">
        <tpls c="3">
          <tpl fld="2" item="0"/>
          <tpl fld="3" item="453"/>
          <tpl fld="0" item="7"/>
        </tpls>
      </n>
      <n v="12960">
        <tpls c="3">
          <tpl fld="2" item="0"/>
          <tpl fld="3" item="91"/>
          <tpl fld="0" item="5"/>
        </tpls>
      </n>
      <n v="7020.0432000000001">
        <tpls c="3">
          <tpl fld="2" item="0"/>
          <tpl fld="3" item="454"/>
          <tpl fld="0" item="5"/>
        </tpls>
      </n>
      <n v="4100.3999999999996">
        <tpls c="3">
          <tpl fld="2" item="0"/>
          <tpl fld="3" item="95"/>
          <tpl fld="0" item="8"/>
        </tpls>
      </n>
      <n v="3300.0000000000005">
        <tpls c="3">
          <tpl fld="2" item="0"/>
          <tpl fld="3" item="401"/>
          <tpl fld="0" item="6"/>
        </tpls>
      </n>
      <n v="3708">
        <tpls c="3">
          <tpl fld="2" item="0"/>
          <tpl fld="3" item="433"/>
          <tpl fld="0" item="7"/>
        </tpls>
      </n>
      <n v="1854">
        <tpls c="3">
          <tpl fld="2" item="0"/>
          <tpl fld="3" item="443"/>
          <tpl fld="0" item="0"/>
        </tpls>
      </n>
      <n v="37800">
        <tpls c="3">
          <tpl fld="2" item="0"/>
          <tpl fld="3" item="383"/>
          <tpl fld="0" item="5"/>
        </tpls>
      </n>
      <n v="3270.0000000000005">
        <tpls c="3">
          <tpl fld="2" item="0"/>
          <tpl fld="3" item="262"/>
          <tpl fld="0" item="11"/>
        </tpls>
      </n>
      <n v="3000">
        <tpls c="3">
          <tpl fld="2" item="0"/>
          <tpl fld="3" item="12"/>
          <tpl fld="0" item="11"/>
        </tpls>
      </n>
      <n v="2499">
        <tpls c="3">
          <tpl fld="2" item="0"/>
          <tpl fld="3" item="266"/>
          <tpl fld="0" item="0"/>
        </tpls>
      </n>
      <n v="3600">
        <tpls c="3">
          <tpl fld="2" item="0"/>
          <tpl fld="3" item="268"/>
          <tpl fld="0" item="5"/>
        </tpls>
      </n>
      <n v="3632.9700000000003">
        <tpls c="3">
          <tpl fld="2" item="0"/>
          <tpl fld="3" item="71"/>
          <tpl fld="0" item="5"/>
        </tpls>
      </n>
      <n v="2160">
        <tpls c="3">
          <tpl fld="2" item="0"/>
          <tpl fld="3" item="82"/>
          <tpl fld="0" item="9"/>
        </tpls>
      </n>
      <n v="7980">
        <tpls c="3">
          <tpl fld="2" item="0"/>
          <tpl fld="3" item="278"/>
          <tpl fld="0" item="7"/>
        </tpls>
      </n>
      <n v="7128">
        <tpls c="3">
          <tpl fld="2" item="0"/>
          <tpl fld="3" item="284"/>
          <tpl fld="0" item="4"/>
        </tpls>
      </n>
      <n v="12852">
        <tpls c="3">
          <tpl fld="2" item="0"/>
          <tpl fld="3" item="288"/>
          <tpl fld="0" item="9"/>
        </tpls>
      </n>
      <n v="1540.8">
        <tpls c="3">
          <tpl fld="2" item="0"/>
          <tpl fld="3" item="110"/>
          <tpl fld="0" item="10"/>
        </tpls>
      </n>
      <n v="28812.960000000003">
        <tpls c="3">
          <tpl fld="2" item="0"/>
          <tpl fld="3" item="292"/>
          <tpl fld="0" item="3"/>
        </tpls>
      </n>
      <n v="7142.04">
        <tpls c="3">
          <tpl fld="2" item="0"/>
          <tpl fld="3" item="118"/>
          <tpl fld="0" item="11"/>
        </tpls>
      </n>
      <n v="2940">
        <tpls c="3">
          <tpl fld="2" item="0"/>
          <tpl fld="3" item="296"/>
          <tpl fld="0" item="11"/>
        </tpls>
      </n>
      <n v="2995.2">
        <tpls c="3">
          <tpl fld="2" item="0"/>
          <tpl fld="3" item="126"/>
          <tpl fld="0" item="4"/>
        </tpls>
      </n>
      <n v="3240">
        <tpls c="3">
          <tpl fld="2" item="0"/>
          <tpl fld="3" item="300"/>
          <tpl fld="0" item="9"/>
        </tpls>
      </n>
      <n v="1248">
        <tpls c="3">
          <tpl fld="2" item="0"/>
          <tpl fld="3" item="304"/>
          <tpl fld="0" item="7"/>
        </tpls>
      </n>
      <n v="13500">
        <tpls c="3">
          <tpl fld="2" item="0"/>
          <tpl fld="3" item="142"/>
          <tpl fld="0" item="7"/>
        </tpls>
      </n>
      <n v="2760">
        <tpls c="3">
          <tpl fld="2" item="0"/>
          <tpl fld="3" item="308"/>
          <tpl fld="0" item="5"/>
        </tpls>
      </n>
      <n v="7344">
        <tpls c="3">
          <tpl fld="2" item="0"/>
          <tpl fld="3" item="150"/>
          <tpl fld="0" item="8"/>
        </tpls>
      </n>
      <n v="2640">
        <tpls c="3">
          <tpl fld="2" item="0"/>
          <tpl fld="3" item="312"/>
          <tpl fld="0" item="2"/>
        </tpls>
      </n>
      <n v="10785.6">
        <tpls c="3">
          <tpl fld="2" item="0"/>
          <tpl fld="3" item="158"/>
          <tpl fld="0" item="9"/>
        </tpls>
      </n>
      <n v="11923.199999999999">
        <tpls c="3">
          <tpl fld="2" item="0"/>
          <tpl fld="3" item="316"/>
          <tpl fld="0" item="0"/>
        </tpls>
      </n>
      <n v="5615.7753600000005">
        <tpls c="3">
          <tpl fld="2" item="0"/>
          <tpl fld="3" item="166"/>
          <tpl fld="0" item="7"/>
        </tpls>
      </n>
      <n v="1179.3600000000001">
        <tpls c="3">
          <tpl fld="2" item="0"/>
          <tpl fld="3" item="320"/>
          <tpl fld="0" item="11"/>
        </tpls>
      </n>
      <n v="3852">
        <tpls c="3">
          <tpl fld="2" item="0"/>
          <tpl fld="3" item="174"/>
          <tpl fld="0" item="6"/>
        </tpls>
      </n>
      <n v="1128">
        <tpls c="3">
          <tpl fld="2" item="0"/>
          <tpl fld="3" item="324"/>
          <tpl fld="0" item="10"/>
        </tpls>
      </n>
      <n v="15600">
        <tpls c="3">
          <tpl fld="2" item="0"/>
          <tpl fld="3" item="182"/>
          <tpl fld="0" item="0"/>
        </tpls>
      </n>
      <n v="18480">
        <tpls c="3">
          <tpl fld="2" item="0"/>
          <tpl fld="3" item="328"/>
          <tpl fld="0" item="3"/>
        </tpls>
      </n>
      <n v="7379.3436000000002">
        <tpls c="3">
          <tpl fld="2" item="0"/>
          <tpl fld="3" item="190"/>
          <tpl fld="0" item="5"/>
        </tpls>
      </n>
      <n v="7000.08">
        <tpls c="3">
          <tpl fld="2" item="0"/>
          <tpl fld="3" item="332"/>
          <tpl fld="0" item="11"/>
        </tpls>
      </n>
      <n v="5724">
        <tpls c="3">
          <tpl fld="2" item="0"/>
          <tpl fld="3" item="336"/>
          <tpl fld="0" item="10"/>
        </tpls>
      </n>
      <n v="6415.2">
        <tpls c="3">
          <tpl fld="2" item="0"/>
          <tpl fld="3" item="206"/>
          <tpl fld="0" item="0"/>
        </tpls>
      </n>
      <n v="3780">
        <tpls c="3">
          <tpl fld="2" item="0"/>
          <tpl fld="3" item="340"/>
          <tpl fld="0" item="3"/>
        </tpls>
      </n>
      <n v="1497.6">
        <tpls c="3">
          <tpl fld="2" item="0"/>
          <tpl fld="3" item="214"/>
          <tpl fld="0" item="4"/>
        </tpls>
      </n>
      <n v="40824">
        <tpls c="3">
          <tpl fld="2" item="0"/>
          <tpl fld="3" item="344"/>
          <tpl fld="0" item="9"/>
        </tpls>
      </n>
      <n v="20023.2">
        <tpls c="3">
          <tpl fld="2" item="0"/>
          <tpl fld="3" item="222"/>
          <tpl fld="0" item="0"/>
        </tpls>
      </n>
      <n v="4095.0327600000001">
        <tpls c="3">
          <tpl fld="2" item="0"/>
          <tpl fld="3" item="348"/>
          <tpl fld="0" item="3"/>
        </tpls>
      </n>
      <n v="16218">
        <tpls c="3">
          <tpl fld="2" item="0"/>
          <tpl fld="3" item="352"/>
          <tpl fld="0" item="4"/>
        </tpls>
      </n>
      <n v="756.6">
        <tpls c="3">
          <tpl fld="2" item="0"/>
          <tpl fld="3" item="238"/>
          <tpl fld="0" item="4"/>
        </tpls>
      </n>
      <n v="3180">
        <tpls c="3">
          <tpl fld="2" item="0"/>
          <tpl fld="3" item="356"/>
          <tpl fld="0" item="11"/>
        </tpls>
      </n>
      <n v="1883.76">
        <tpls c="3">
          <tpl fld="2" item="0"/>
          <tpl fld="3" item="246"/>
          <tpl fld="0" item="2"/>
        </tpls>
      </n>
      <n v="23280">
        <tpls c="3">
          <tpl fld="2" item="0"/>
          <tpl fld="3" item="360"/>
          <tpl fld="0" item="5"/>
        </tpls>
      </n>
      <n v="6624">
        <tpls c="3">
          <tpl fld="2" item="0"/>
          <tpl fld="3" item="254"/>
          <tpl fld="0" item="1"/>
        </tpls>
      </n>
      <n v="6840">
        <tpls c="3">
          <tpl fld="2" item="0"/>
          <tpl fld="3" item="364"/>
          <tpl fld="0" item="8"/>
        </tpls>
      </n>
      <n v="8928">
        <tpls c="3">
          <tpl fld="2" item="0"/>
          <tpl fld="3" item="22"/>
          <tpl fld="0" item="7"/>
        </tpls>
      </n>
      <n v="1854">
        <tpls c="3">
          <tpl fld="2" item="0"/>
          <tpl fld="3" item="134"/>
          <tpl fld="0" item="10"/>
        </tpls>
      </n>
      <n v="1962.0000000000002">
        <tpls c="3">
          <tpl fld="2" item="0"/>
          <tpl fld="3" item="425"/>
          <tpl fld="0" item="9"/>
        </tpls>
      </n>
      <n v="5460">
        <tpls c="3">
          <tpl fld="2" item="0"/>
          <tpl fld="3" item="445"/>
          <tpl fld="0" item="8"/>
        </tpls>
      </n>
      <n v="15000">
        <tpls c="3">
          <tpl fld="2" item="0"/>
          <tpl fld="3" item="14"/>
          <tpl fld="0" item="2"/>
        </tpls>
      </n>
      <n v="3120">
        <tpls c="3">
          <tpl fld="2" item="0"/>
          <tpl fld="3" item="21"/>
          <tpl fld="0" item="0"/>
        </tpls>
      </n>
      <n v="13068">
        <tpls c="3">
          <tpl fld="2" item="0"/>
          <tpl fld="3" item="28"/>
          <tpl fld="0" item="5"/>
        </tpls>
      </n>
      <n v="5460">
        <tpls c="3">
          <tpl fld="2" item="0"/>
          <tpl fld="3" item="270"/>
          <tpl fld="0" item="5"/>
        </tpls>
      </n>
      <n v="11760">
        <tpls c="3">
          <tpl fld="2" item="0"/>
          <tpl fld="3" item="79"/>
          <tpl fld="0" item="5"/>
        </tpls>
      </n>
      <n v="5623.8">
        <tpls c="3">
          <tpl fld="2" item="0"/>
          <tpl fld="3" item="276"/>
          <tpl fld="0" item="10"/>
        </tpls>
      </n>
      <n v="4608">
        <tpls c="3">
          <tpl fld="2" item="0"/>
          <tpl fld="3" item="94"/>
          <tpl fld="0" item="1"/>
        </tpls>
      </n>
      <n v="2736">
        <tpls c="3">
          <tpl fld="2" item="0"/>
          <tpl fld="3" item="491"/>
          <tpl fld="0" item="6"/>
        </tpls>
      </n>
      <n v="3960.0000000000005">
        <tpls c="3">
          <tpl fld="2" item="0"/>
          <tpl fld="3" item="103"/>
          <tpl fld="0" item="6"/>
        </tpls>
      </n>
      <n v="11649.456">
        <tpls c="3">
          <tpl fld="2" item="0"/>
          <tpl fld="3" item="492"/>
          <tpl fld="0" item="10"/>
        </tpls>
      </n>
      <n v="13968">
        <tpls c="3">
          <tpl fld="2" item="0"/>
          <tpl fld="3" item="111"/>
          <tpl fld="0" item="0"/>
        </tpls>
      </n>
      <n v="5875.2">
        <tpls c="3">
          <tpl fld="2" item="0"/>
          <tpl fld="3" item="493"/>
          <tpl fld="0" item="3"/>
        </tpls>
      </n>
      <n v="4622.3999999999996">
        <tpls c="3">
          <tpl fld="2" item="0"/>
          <tpl fld="3" item="119"/>
          <tpl fld="0" item="5"/>
        </tpls>
      </n>
      <n v="1324.8">
        <tpls c="3">
          <tpl fld="2" item="0"/>
          <tpl fld="3" item="494"/>
          <tpl fld="0" item="4"/>
        </tpls>
      </n>
      <n v="6491.52">
        <tpls c="3">
          <tpl fld="2" item="0"/>
          <tpl fld="3" item="127"/>
          <tpl fld="0" item="11"/>
        </tpls>
      </n>
      <n v="1104">
        <tpls c="3">
          <tpl fld="2" item="0"/>
          <tpl fld="3" item="495"/>
          <tpl fld="0" item="9"/>
        </tpls>
      </n>
      <n v="1605">
        <tpls c="3">
          <tpl fld="2" item="0"/>
          <tpl fld="3" item="135"/>
          <tpl fld="0" item="10"/>
        </tpls>
      </n>
      <n v="5390.0783999999994">
        <tpls c="3">
          <tpl fld="2" item="0"/>
          <tpl fld="3" item="496"/>
          <tpl fld="0" item="7"/>
        </tpls>
      </n>
      <n v="9720">
        <tpls c="3">
          <tpl fld="2" item="0"/>
          <tpl fld="3" item="143"/>
          <tpl fld="0" item="3"/>
        </tpls>
      </n>
      <n v="7128">
        <tpls c="3">
          <tpl fld="2" item="0"/>
          <tpl fld="3" item="497"/>
          <tpl fld="0" item="1"/>
        </tpls>
      </n>
      <n v="6240">
        <tpls c="3">
          <tpl fld="2" item="0"/>
          <tpl fld="3" item="151"/>
          <tpl fld="0" item="8"/>
        </tpls>
      </n>
      <n v="1382.3999999999999">
        <tpls c="3">
          <tpl fld="2" item="0"/>
          <tpl fld="3" item="498"/>
          <tpl fld="0" item="9"/>
        </tpls>
      </n>
      <n v="3999.6">
        <tpls c="3">
          <tpl fld="2" item="0"/>
          <tpl fld="3" item="159"/>
          <tpl fld="0" item="10"/>
        </tpls>
      </n>
      <n v="1652.3999999999999">
        <tpls c="3">
          <tpl fld="2" item="0"/>
          <tpl fld="3" item="499"/>
          <tpl fld="0" item="0"/>
        </tpls>
      </n>
      <n v="3499.2">
        <tpls c="3">
          <tpl fld="2" item="0"/>
          <tpl fld="3" item="167"/>
          <tpl fld="0" item="3"/>
        </tpls>
      </n>
      <n v="2063.88">
        <tpls c="3">
          <tpl fld="2" item="0"/>
          <tpl fld="3" item="500"/>
          <tpl fld="0" item="11"/>
        </tpls>
      </n>
      <n v="14968.8">
        <tpls c="3">
          <tpl fld="2" item="0"/>
          <tpl fld="3" item="175"/>
          <tpl fld="0" item="6"/>
        </tpls>
      </n>
      <n v="11289.6">
        <tpls c="3">
          <tpl fld="2" item="0"/>
          <tpl fld="3" item="501"/>
          <tpl fld="0" item="10"/>
        </tpls>
      </n>
      <n v="2352">
        <tpls c="3">
          <tpl fld="2" item="0"/>
          <tpl fld="3" item="183"/>
          <tpl fld="0" item="0"/>
        </tpls>
      </n>
      <n v="19762.080000000002">
        <tpls c="3">
          <tpl fld="2" item="0"/>
          <tpl fld="3" item="502"/>
          <tpl fld="0" item="5"/>
        </tpls>
      </n>
      <n v="13992">
        <tpls c="3">
          <tpl fld="2" item="0"/>
          <tpl fld="3" item="191"/>
          <tpl fld="0" item="1"/>
        </tpls>
      </n>
      <n v="3030">
        <tpls c="3">
          <tpl fld="2" item="0"/>
          <tpl fld="3" item="503"/>
          <tpl fld="0" item="11"/>
        </tpls>
      </n>
      <n v="12117.6">
        <tpls c="3">
          <tpl fld="2" item="0"/>
          <tpl fld="3" item="199"/>
          <tpl fld="0" item="6"/>
        </tpls>
      </n>
      <n v="7776">
        <tpls c="3">
          <tpl fld="2" item="0"/>
          <tpl fld="3" item="504"/>
          <tpl fld="0" item="10"/>
        </tpls>
      </n>
      <n v="3175.2000000000003">
        <tpls c="3">
          <tpl fld="2" item="0"/>
          <tpl fld="3" item="207"/>
          <tpl fld="0" item="0"/>
        </tpls>
      </n>
      <n v="6624">
        <tpls c="3">
          <tpl fld="2" item="0"/>
          <tpl fld="3" item="505"/>
          <tpl fld="0" item="1"/>
        </tpls>
      </n>
      <n v="6468.0940799999989">
        <tpls c="3">
          <tpl fld="2" item="0"/>
          <tpl fld="3" item="215"/>
          <tpl fld="0" item="11"/>
        </tpls>
      </n>
      <n v="5248.8">
        <tpls c="3">
          <tpl fld="2" item="0"/>
          <tpl fld="3" item="506"/>
          <tpl fld="0" item="10"/>
        </tpls>
      </n>
      <n v="15714">
        <tpls c="3">
          <tpl fld="2" item="0"/>
          <tpl fld="3" item="223"/>
          <tpl fld="0" item="0"/>
        </tpls>
      </n>
      <n v="1215">
        <tpls c="3">
          <tpl fld="2" item="0"/>
          <tpl fld="3" item="507"/>
          <tpl fld="0" item="5"/>
        </tpls>
      </n>
      <n v="5524.2">
        <tpls c="3">
          <tpl fld="2" item="0"/>
          <tpl fld="3" item="231"/>
          <tpl fld="0" item="1"/>
        </tpls>
      </n>
      <n v="1836">
        <tpls c="3">
          <tpl fld="2" item="0"/>
          <tpl fld="3" item="508"/>
          <tpl fld="0" item="4"/>
        </tpls>
      </n>
      <n v="2100">
        <tpls c="3">
          <tpl fld="2" item="0"/>
          <tpl fld="3" item="239"/>
          <tpl fld="0" item="4"/>
        </tpls>
      </n>
      <n v="7344">
        <tpls c="3">
          <tpl fld="2" item="0"/>
          <tpl fld="3" item="509"/>
          <tpl fld="0" item="11"/>
        </tpls>
      </n>
      <n v="1746">
        <tpls c="3">
          <tpl fld="2" item="0"/>
          <tpl fld="3" item="247"/>
          <tpl fld="0" item="2"/>
        </tpls>
      </n>
      <n v="18144">
        <tpls c="3">
          <tpl fld="2" item="0"/>
          <tpl fld="3" item="510"/>
          <tpl fld="0" item="5"/>
        </tpls>
      </n>
      <n v="6120">
        <tpls c="3">
          <tpl fld="2" item="0"/>
          <tpl fld="3" item="255"/>
          <tpl fld="0" item="1"/>
        </tpls>
      </n>
      <n v="4620">
        <tpls c="3">
          <tpl fld="2" item="0"/>
          <tpl fld="3" item="511"/>
          <tpl fld="0" item="4"/>
        </tpls>
      </n>
      <n v="8236.7999999999993">
        <tpls c="3">
          <tpl fld="2" item="0"/>
          <tpl fld="3" item="512"/>
          <tpl fld="0" item="4"/>
        </tpls>
      </n>
      <n v="4512">
        <tpls c="3">
          <tpl fld="2" item="0"/>
          <tpl fld="3" item="513"/>
          <tpl fld="0" item="11"/>
        </tpls>
      </n>
      <n v="2208">
        <tpls c="3">
          <tpl fld="2" item="0"/>
          <tpl fld="3" item="514"/>
          <tpl fld="0" item="2"/>
        </tpls>
      </n>
      <n v="3240">
        <tpls c="3">
          <tpl fld="2" item="0"/>
          <tpl fld="3" item="515"/>
          <tpl fld="0" item="6"/>
        </tpls>
      </n>
      <n v="2369.0412000000001">
        <tpls c="3">
          <tpl fld="2" item="0"/>
          <tpl fld="3" item="516"/>
          <tpl fld="0" item="6"/>
        </tpls>
      </n>
      <n v="2670.7200000000003">
        <tpls c="3">
          <tpl fld="2" item="0"/>
          <tpl fld="3" item="517"/>
          <tpl fld="0" item="10"/>
        </tpls>
      </n>
      <n v="7123.2000000000007">
        <tpls c="3">
          <tpl fld="2" item="0"/>
          <tpl fld="3" item="518"/>
          <tpl fld="0" item="10"/>
        </tpls>
      </n>
      <n v="1560">
        <tpls c="3">
          <tpl fld="2" item="0"/>
          <tpl fld="3" item="519"/>
          <tpl fld="0" item="7"/>
        </tpls>
      </n>
      <n v="1365">
        <tpls c="3">
          <tpl fld="2" item="0"/>
          <tpl fld="3" item="520"/>
          <tpl fld="0" item="5"/>
        </tpls>
      </n>
      <n v="6984">
        <tpls c="3">
          <tpl fld="2" item="0"/>
          <tpl fld="3" item="521"/>
          <tpl fld="0" item="5"/>
        </tpls>
      </n>
      <n v="720">
        <tpls c="3">
          <tpl fld="2" item="0"/>
          <tpl fld="3" item="522"/>
          <tpl fld="0" item="1"/>
        </tpls>
      </n>
      <n v="17820">
        <tpls c="3">
          <tpl fld="2" item="0"/>
          <tpl fld="3" item="523"/>
          <tpl fld="0" item="1"/>
        </tpls>
      </n>
      <n v="7776.0000000000009">
        <tpls c="3">
          <tpl fld="2" item="0"/>
          <tpl fld="3" item="524"/>
          <tpl fld="0" item="8"/>
        </tpls>
      </n>
      <n v="5670">
        <tpls c="3">
          <tpl fld="2" item="0"/>
          <tpl fld="3" item="525"/>
          <tpl fld="0" item="4"/>
        </tpls>
      </n>
      <n v="1365">
        <tpls c="3">
          <tpl fld="2" item="0"/>
          <tpl fld="3" item="269"/>
          <tpl fld="0" item="10"/>
        </tpls>
      </n>
      <n v="5702.4">
        <tpls c="3">
          <tpl fld="2" item="0"/>
          <tpl fld="3" item="102"/>
          <tpl fld="0" item="6"/>
        </tpls>
      </n>
      <n v="4704">
        <tpls c="3">
          <tpl fld="2" item="0"/>
          <tpl fld="3" item="417"/>
          <tpl fld="0" item="5"/>
        </tpls>
      </n>
      <n v="2727">
        <tpls c="3">
          <tpl fld="2" item="0"/>
          <tpl fld="3" item="230"/>
          <tpl fld="0" item="1"/>
        </tpls>
      </n>
      <n v="3300.0000000000005">
        <tpls c="3">
          <tpl fld="2" item="0"/>
          <tpl fld="3" item="369"/>
          <tpl fld="0" item="11"/>
        </tpls>
      </n>
      <n v="12408">
        <tpls c="3">
          <tpl fld="2" item="0"/>
          <tpl fld="3" item="393"/>
          <tpl fld="0" item="11"/>
        </tpls>
      </n>
      <n v="1410">
        <tpls c="3">
          <tpl fld="2" item="0"/>
          <tpl fld="3" item="30"/>
          <tpl fld="0" item="10"/>
        </tpls>
      </n>
      <n v="13464">
        <tpls c="3">
          <tpl fld="2" item="0"/>
          <tpl fld="3" item="37"/>
          <tpl fld="0" item="1"/>
        </tpls>
      </n>
      <n v="2970">
        <tpls c="3">
          <tpl fld="2" item="0"/>
          <tpl fld="3" item="44"/>
          <tpl fld="0" item="6"/>
        </tpls>
      </n>
      <n v="4914">
        <tpls c="3">
          <tpl fld="2" item="0"/>
          <tpl fld="3" item="274"/>
          <tpl fld="0" item="4"/>
        </tpls>
      </n>
      <n v="6120">
        <tpls c="3">
          <tpl fld="2" item="0"/>
          <tpl fld="3" item="90"/>
          <tpl fld="0" item="7"/>
        </tpls>
      </n>
      <n v="7848.0000000000009">
        <tpls c="3">
          <tpl fld="2" item="0"/>
          <tpl fld="3" item="282"/>
          <tpl fld="0" item="8"/>
        </tpls>
      </n>
      <n v="2820">
        <tpls c="3">
          <tpl fld="2" item="0"/>
          <tpl fld="3" item="98"/>
          <tpl fld="0" item="11"/>
        </tpls>
      </n>
      <n v="2592">
        <tpls c="3">
          <tpl fld="2" item="0"/>
          <tpl fld="3" item="286"/>
          <tpl fld="0" item="6"/>
        </tpls>
      </n>
      <n v="6674.4">
        <tpls c="3">
          <tpl fld="2" item="0"/>
          <tpl fld="3" item="106"/>
          <tpl fld="0" item="9"/>
        </tpls>
      </n>
      <n v="3852">
        <tpls c="3">
          <tpl fld="2" item="0"/>
          <tpl fld="3" item="290"/>
          <tpl fld="0" item="0"/>
        </tpls>
      </n>
      <n v="3888">
        <tpls c="3">
          <tpl fld="2" item="0"/>
          <tpl fld="3" item="114"/>
          <tpl fld="0" item="7"/>
        </tpls>
      </n>
      <n v="5184">
        <tpls c="3">
          <tpl fld="2" item="0"/>
          <tpl fld="3" item="294"/>
          <tpl fld="0" item="1"/>
        </tpls>
      </n>
      <n v="18900">
        <tpls c="3">
          <tpl fld="2" item="0"/>
          <tpl fld="3" item="122"/>
          <tpl fld="0" item="8"/>
        </tpls>
      </n>
      <n v="28005.120000000003">
        <tpls c="3">
          <tpl fld="2" item="0"/>
          <tpl fld="3" item="298"/>
          <tpl fld="0" item="11"/>
        </tpls>
      </n>
      <n v="2310">
        <tpls c="3">
          <tpl fld="2" item="0"/>
          <tpl fld="3" item="130"/>
          <tpl fld="0" item="9"/>
        </tpls>
      </n>
      <n v="1920.0383999999999">
        <tpls c="3">
          <tpl fld="2" item="0"/>
          <tpl fld="3" item="302"/>
          <tpl fld="0" item="10"/>
        </tpls>
      </n>
      <n v="1638">
        <tpls c="3">
          <tpl fld="2" item="0"/>
          <tpl fld="3" item="138"/>
          <tpl fld="0" item="0"/>
        </tpls>
      </n>
      <n v="6540.0000000000009">
        <tpls c="3">
          <tpl fld="2" item="0"/>
          <tpl fld="3" item="306"/>
          <tpl fld="0" item="3"/>
        </tpls>
      </n>
      <n v="6360">
        <tpls c="3">
          <tpl fld="2" item="0"/>
          <tpl fld="3" item="146"/>
          <tpl fld="0" item="5"/>
        </tpls>
      </n>
      <n v="17100">
        <tpls c="3">
          <tpl fld="2" item="0"/>
          <tpl fld="3" item="310"/>
          <tpl fld="0" item="8"/>
        </tpls>
      </n>
      <n v="15696.000000000002">
        <tpls c="3">
          <tpl fld="2" item="0"/>
          <tpl fld="3" item="314"/>
          <tpl fld="0" item="10"/>
        </tpls>
      </n>
      <n v="14541.12">
        <tpls c="3">
          <tpl fld="2" item="0"/>
          <tpl fld="3" item="162"/>
          <tpl fld="0" item="10"/>
        </tpls>
      </n>
      <n v="2021.7599999999998">
        <tpls c="3">
          <tpl fld="2" item="0"/>
          <tpl fld="3" item="318"/>
          <tpl fld="0" item="3"/>
        </tpls>
      </n>
      <n v="4751.1359999999995">
        <tpls c="3">
          <tpl fld="2" item="0"/>
          <tpl fld="3" item="170"/>
          <tpl fld="0" item="8"/>
        </tpls>
      </n>
      <n v="10920">
        <tpls c="3">
          <tpl fld="2" item="0"/>
          <tpl fld="3" item="322"/>
          <tpl fld="0" item="9"/>
        </tpls>
      </n>
      <n v="14400">
        <tpls c="3">
          <tpl fld="2" item="0"/>
          <tpl fld="3" item="178"/>
          <tpl fld="0" item="9"/>
        </tpls>
      </n>
      <n v="1800.9">
        <tpls c="3">
          <tpl fld="2" item="0"/>
          <tpl fld="3" item="326"/>
          <tpl fld="0" item="0"/>
        </tpls>
      </n>
      <n v="3300.0000000000005">
        <tpls c="3">
          <tpl fld="2" item="0"/>
          <tpl fld="3" item="186"/>
          <tpl fld="0" item="3"/>
        </tpls>
      </n>
      <n v="11157.3">
        <tpls c="3">
          <tpl fld="2" item="0"/>
          <tpl fld="3" item="330"/>
          <tpl fld="0" item="1"/>
        </tpls>
      </n>
      <n v="7128">
        <tpls c="3">
          <tpl fld="2" item="0"/>
          <tpl fld="3" item="194"/>
          <tpl fld="0" item="8"/>
        </tpls>
      </n>
      <n v="5184">
        <tpls c="3">
          <tpl fld="2" item="0"/>
          <tpl fld="3" item="334"/>
          <tpl fld="0" item="6"/>
        </tpls>
      </n>
      <n v="1944">
        <tpls c="3">
          <tpl fld="2" item="0"/>
          <tpl fld="3" item="202"/>
          <tpl fld="0" item="10"/>
        </tpls>
      </n>
      <n v="6609.6">
        <tpls c="3">
          <tpl fld="2" item="0"/>
          <tpl fld="3" item="338"/>
          <tpl fld="0" item="7"/>
        </tpls>
      </n>
      <n v="2311.1999999999998">
        <tpls c="3">
          <tpl fld="2" item="0"/>
          <tpl fld="3" item="210"/>
          <tpl fld="0" item="7"/>
        </tpls>
      </n>
      <n v="5562.0444959999995">
        <tpls c="3">
          <tpl fld="2" item="0"/>
          <tpl fld="3" item="342"/>
          <tpl fld="0" item="6"/>
        </tpls>
      </n>
      <n v="14113.44">
        <tpls c="3">
          <tpl fld="2" item="0"/>
          <tpl fld="3" item="218"/>
          <tpl fld="0" item="9"/>
        </tpls>
      </n>
      <n v="47511.360000000001">
        <tpls c="3">
          <tpl fld="2" item="0"/>
          <tpl fld="3" item="346"/>
          <tpl fld="0" item="0"/>
        </tpls>
      </n>
      <n v="1444.5">
        <tpls c="3">
          <tpl fld="2" item="0"/>
          <tpl fld="3" item="226"/>
          <tpl fld="0" item="3"/>
        </tpls>
      </n>
      <n v="8343">
        <tpls c="3">
          <tpl fld="2" item="0"/>
          <tpl fld="3" item="350"/>
          <tpl fld="0" item="1"/>
        </tpls>
      </n>
      <n v="2484">
        <tpls c="3">
          <tpl fld="2" item="0"/>
          <tpl fld="3" item="234"/>
          <tpl fld="0" item="8"/>
        </tpls>
      </n>
      <n v="6468">
        <tpls c="3">
          <tpl fld="2" item="0"/>
          <tpl fld="3" item="354"/>
          <tpl fld="0" item="4"/>
        </tpls>
      </n>
      <n v="2208">
        <tpls c="3">
          <tpl fld="2" item="0"/>
          <tpl fld="3" item="242"/>
          <tpl fld="0" item="11"/>
        </tpls>
      </n>
      <n v="2700">
        <tpls c="3">
          <tpl fld="2" item="0"/>
          <tpl fld="3" item="358"/>
          <tpl fld="0" item="2"/>
        </tpls>
      </n>
      <n v="10710">
        <tpls c="3">
          <tpl fld="2" item="0"/>
          <tpl fld="3" item="250"/>
          <tpl fld="0" item="7"/>
        </tpls>
      </n>
      <n v="6105.6">
        <tpls c="3">
          <tpl fld="2" item="0"/>
          <tpl fld="3" item="362"/>
          <tpl fld="0" item="1"/>
        </tpls>
      </n>
      <n v="7488">
        <tpls c="3">
          <tpl fld="2" item="0"/>
          <tpl fld="3" item="258"/>
          <tpl fld="0" item="8"/>
        </tpls>
      </n>
      <n v="3333">
        <tpls c="3">
          <tpl fld="2" item="0"/>
          <tpl fld="3" item="272"/>
          <tpl fld="0" item="6"/>
        </tpls>
      </n>
      <n v="6480">
        <tpls c="3">
          <tpl fld="2" item="0"/>
          <tpl fld="3" item="409"/>
          <tpl fld="0" item="0"/>
        </tpls>
      </n>
      <n v="3000">
        <tpls c="3">
          <tpl fld="2" item="0"/>
          <tpl fld="3" item="154"/>
          <tpl fld="0" item="11"/>
        </tpls>
      </n>
      <n v="6670.8">
        <tpls c="3">
          <tpl fld="2" item="0"/>
          <tpl fld="3" item="198"/>
          <tpl fld="0" item="2"/>
        </tpls>
      </n>
      <n v="3708">
        <tpls c="3">
          <tpl fld="2" item="0"/>
          <tpl fld="3" item="441"/>
          <tpl fld="0" item="11"/>
        </tpls>
      </n>
      <n v="4896">
        <tpls c="3">
          <tpl fld="2" item="0"/>
          <tpl fld="3" item="375"/>
          <tpl fld="0" item="6"/>
        </tpls>
      </n>
      <n v="12542">
        <tpls c="3">
          <tpl fld="2" item="0"/>
          <tpl fld="3" item="264"/>
          <tpl fld="0" item="9"/>
        </tpls>
      </n>
      <n v="8988">
        <tpls c="3">
          <tpl fld="2" item="0"/>
          <tpl fld="3" item="63"/>
          <tpl fld="0" item="10"/>
        </tpls>
      </n>
      <n v="1620">
        <tpls c="3">
          <tpl fld="2" item="0"/>
          <tpl fld="3" item="46"/>
          <tpl fld="0" item="10"/>
        </tpls>
      </n>
      <n v="4752">
        <tpls c="3">
          <tpl fld="2" item="0"/>
          <tpl fld="3" item="53"/>
          <tpl fld="0" item="6"/>
        </tpls>
      </n>
      <n v="3990">
        <tpls c="3">
          <tpl fld="2" item="0"/>
          <tpl fld="3" item="86"/>
          <tpl fld="0" item="0"/>
        </tpls>
      </n>
      <n v="1365">
        <tpls c="3">
          <tpl fld="2" item="0"/>
          <tpl fld="3" item="280"/>
          <tpl fld="0" item="5"/>
        </tpls>
      </n>
      <n v="588">
        <tpls c="3">
          <tpl fld="2" item="0"/>
          <tpl fld="3" item="455"/>
          <tpl fld="0" item="8"/>
        </tpls>
      </n>
      <n v="5076">
        <tpls c="3">
          <tpl fld="2" item="0"/>
          <tpl fld="3" item="99"/>
          <tpl fld="0" item="4"/>
        </tpls>
      </n>
      <n v="9576">
        <tpls c="3">
          <tpl fld="2" item="0"/>
          <tpl fld="3" item="456"/>
          <tpl fld="0" item="9"/>
        </tpls>
      </n>
      <n v="1272">
        <tpls c="3">
          <tpl fld="2" item="0"/>
          <tpl fld="3" item="107"/>
          <tpl fld="0" item="4"/>
        </tpls>
      </n>
      <n v="2280">
        <tpls c="3">
          <tpl fld="2" item="0"/>
          <tpl fld="3" item="457"/>
          <tpl fld="0" item="11"/>
        </tpls>
      </n>
      <n v="10977.12">
        <tpls c="3">
          <tpl fld="2" item="0"/>
          <tpl fld="3" item="115"/>
          <tpl fld="0" item="3"/>
        </tpls>
      </n>
      <n v="13104">
        <tpls c="3">
          <tpl fld="2" item="0"/>
          <tpl fld="3" item="458"/>
          <tpl fld="0" item="1"/>
        </tpls>
      </n>
      <n v="17280">
        <tpls c="3">
          <tpl fld="2" item="0"/>
          <tpl fld="3" item="123"/>
          <tpl fld="0" item="8"/>
        </tpls>
      </n>
      <n v="5280">
        <tpls c="3">
          <tpl fld="2" item="0"/>
          <tpl fld="3" item="459"/>
          <tpl fld="0" item="2"/>
        </tpls>
      </n>
      <n v="3150">
        <tpls c="3">
          <tpl fld="2" item="0"/>
          <tpl fld="3" item="131"/>
          <tpl fld="0" item="9"/>
        </tpls>
      </n>
      <n v="2256">
        <tpls c="3">
          <tpl fld="2" item="0"/>
          <tpl fld="3" item="460"/>
          <tpl fld="0" item="0"/>
        </tpls>
      </n>
      <n v="2760">
        <tpls c="3">
          <tpl fld="2" item="0"/>
          <tpl fld="3" item="139"/>
          <tpl fld="0" item="2"/>
        </tpls>
      </n>
      <n v="1943.8799999999999">
        <tpls c="3">
          <tpl fld="2" item="0"/>
          <tpl fld="3" item="461"/>
          <tpl fld="0" item="2"/>
        </tpls>
      </n>
      <n v="8640">
        <tpls c="3">
          <tpl fld="2" item="0"/>
          <tpl fld="3" item="147"/>
          <tpl fld="0" item="5"/>
        </tpls>
      </n>
      <n v="3528">
        <tpls c="3">
          <tpl fld="2" item="0"/>
          <tpl fld="3" item="462"/>
          <tpl fld="0" item="11"/>
        </tpls>
      </n>
      <n v="17500">
        <tpls c="3">
          <tpl fld="2" item="0"/>
          <tpl fld="3" item="155"/>
          <tpl fld="0" item="2"/>
        </tpls>
      </n>
      <n v="3564">
        <tpls c="3">
          <tpl fld="2" item="0"/>
          <tpl fld="3" item="463"/>
          <tpl fld="0" item="10"/>
        </tpls>
      </n>
      <n v="3337.2">
        <tpls c="3">
          <tpl fld="2" item="0"/>
          <tpl fld="3" item="163"/>
          <tpl fld="0" item="0"/>
        </tpls>
      </n>
      <n v="12441.6">
        <tpls c="3">
          <tpl fld="2" item="0"/>
          <tpl fld="3" item="464"/>
          <tpl fld="0" item="1"/>
        </tpls>
      </n>
      <n v="1474.2">
        <tpls c="3">
          <tpl fld="2" item="0"/>
          <tpl fld="3" item="171"/>
          <tpl fld="0" item="4"/>
        </tpls>
      </n>
      <n v="6480">
        <tpls c="3">
          <tpl fld="2" item="0"/>
          <tpl fld="3" item="465"/>
          <tpl fld="0" item="9"/>
        </tpls>
      </n>
      <n v="1104">
        <tpls c="3">
          <tpl fld="2" item="0"/>
          <tpl fld="3" item="179"/>
          <tpl fld="0" item="9"/>
        </tpls>
      </n>
      <n v="25000">
        <tpls c="3">
          <tpl fld="2" item="0"/>
          <tpl fld="3" item="466"/>
          <tpl fld="0" item="7"/>
        </tpls>
      </n>
      <n v="10944">
        <tpls c="3">
          <tpl fld="2" item="0"/>
          <tpl fld="3" item="187"/>
          <tpl fld="0" item="3"/>
        </tpls>
      </n>
      <n v="3240">
        <tpls c="3">
          <tpl fld="2" item="0"/>
          <tpl fld="3" item="467"/>
          <tpl fld="0" item="8"/>
        </tpls>
      </n>
      <n v="2921.52">
        <tpls c="3">
          <tpl fld="2" item="0"/>
          <tpl fld="3" item="195"/>
          <tpl fld="0" item="11"/>
        </tpls>
      </n>
      <n v="9936">
        <tpls c="3">
          <tpl fld="2" item="0"/>
          <tpl fld="3" item="468"/>
          <tpl fld="0" item="9"/>
        </tpls>
      </n>
      <n v="4233.6000000000004">
        <tpls c="3">
          <tpl fld="2" item="0"/>
          <tpl fld="3" item="203"/>
          <tpl fld="0" item="10"/>
        </tpls>
      </n>
      <n v="2376.0475199999996">
        <tpls c="3">
          <tpl fld="2" item="0"/>
          <tpl fld="3" item="469"/>
          <tpl fld="0" item="7"/>
        </tpls>
      </n>
      <n v="8553.6">
        <tpls c="3">
          <tpl fld="2" item="0"/>
          <tpl fld="3" item="211"/>
          <tpl fld="0" item="3"/>
        </tpls>
      </n>
      <n v="6609.5999999999995">
        <tpls c="3">
          <tpl fld="2" item="0"/>
          <tpl fld="3" item="470"/>
          <tpl fld="0" item="6"/>
        </tpls>
      </n>
      <n v="1474.2">
        <tpls c="3">
          <tpl fld="2" item="0"/>
          <tpl fld="3" item="219"/>
          <tpl fld="0" item="9"/>
        </tpls>
      </n>
      <n v="2322.0432000000001">
        <tpls c="3">
          <tpl fld="2" item="0"/>
          <tpl fld="3" item="471"/>
          <tpl fld="0" item="0"/>
        </tpls>
      </n>
      <n v="24721.200000000004">
        <tpls c="3">
          <tpl fld="2" item="0"/>
          <tpl fld="3" item="227"/>
          <tpl fld="0" item="3"/>
        </tpls>
      </n>
      <n v="5508">
        <tpls c="3">
          <tpl fld="2" item="0"/>
          <tpl fld="3" item="472"/>
          <tpl fld="0" item="8"/>
        </tpls>
      </n>
      <n v="2889">
        <tpls c="3">
          <tpl fld="2" item="0"/>
          <tpl fld="3" item="235"/>
          <tpl fld="0" item="8"/>
        </tpls>
      </n>
      <n v="2160">
        <tpls c="3">
          <tpl fld="2" item="0"/>
          <tpl fld="3" item="473"/>
          <tpl fld="0" item="4"/>
        </tpls>
      </n>
      <n v="1164">
        <tpls c="3">
          <tpl fld="2" item="0"/>
          <tpl fld="3" item="243"/>
          <tpl fld="0" item="11"/>
        </tpls>
      </n>
      <n v="1365">
        <tpls c="3">
          <tpl fld="2" item="0"/>
          <tpl fld="3" item="474"/>
          <tpl fld="0" item="0"/>
        </tpls>
      </n>
      <n v="7999.2">
        <tpls c="3">
          <tpl fld="2" item="0"/>
          <tpl fld="3" item="251"/>
          <tpl fld="0" item="5"/>
        </tpls>
      </n>
      <n v="11760">
        <tpls c="3">
          <tpl fld="2" item="0"/>
          <tpl fld="3" item="475"/>
          <tpl fld="0" item="1"/>
        </tpls>
      </n>
      <n v="3120">
        <tpls c="3">
          <tpl fld="2" item="0"/>
          <tpl fld="3" item="259"/>
          <tpl fld="0" item="8"/>
        </tpls>
      </n>
      <n v="1890">
        <tpls c="3">
          <tpl fld="2" item="0"/>
          <tpl fld="3" item="476"/>
          <tpl fld="0" item="4"/>
        </tpls>
      </n>
      <n v="7603.2">
        <tpls c="3">
          <tpl fld="2" item="0"/>
          <tpl fld="3" item="477"/>
          <tpl fld="0" item="4"/>
        </tpls>
      </n>
      <n v="3120">
        <tpls c="3">
          <tpl fld="2" item="0"/>
          <tpl fld="3" item="478"/>
          <tpl fld="0" item="2"/>
        </tpls>
      </n>
      <n v="1284">
        <tpls c="3">
          <tpl fld="2" item="0"/>
          <tpl fld="3" item="479"/>
          <tpl fld="0" item="2"/>
        </tpls>
      </n>
      <n v="9147.6">
        <tpls c="3">
          <tpl fld="2" item="0"/>
          <tpl fld="3" item="480"/>
          <tpl fld="0" item="6"/>
        </tpls>
      </n>
      <n v="9332.4">
        <tpls c="3">
          <tpl fld="2" item="0"/>
          <tpl fld="3" item="481"/>
          <tpl fld="0" item="9"/>
        </tpls>
      </n>
      <n v="8324.16">
        <tpls c="3">
          <tpl fld="2" item="0"/>
          <tpl fld="3" item="482"/>
          <tpl fld="0" item="10"/>
        </tpls>
      </n>
      <n v="2730">
        <tpls c="3">
          <tpl fld="2" item="0"/>
          <tpl fld="3" item="483"/>
          <tpl fld="0" item="0"/>
        </tpls>
      </n>
      <n v="4416">
        <tpls c="3">
          <tpl fld="2" item="0"/>
          <tpl fld="3" item="484"/>
          <tpl fld="0" item="3"/>
        </tpls>
      </n>
      <n v="6552">
        <tpls c="3">
          <tpl fld="2" item="0"/>
          <tpl fld="3" item="485"/>
          <tpl fld="0" item="5"/>
        </tpls>
      </n>
      <n v="2700">
        <tpls c="3">
          <tpl fld="2" item="0"/>
          <tpl fld="3" item="486"/>
          <tpl fld="0" item="5"/>
        </tpls>
      </n>
      <n v="1260">
        <tpls c="3">
          <tpl fld="2" item="0"/>
          <tpl fld="3" item="487"/>
          <tpl fld="0" item="1"/>
        </tpls>
      </n>
      <n v="3060">
        <tpls c="3">
          <tpl fld="2" item="0"/>
          <tpl fld="3" item="488"/>
          <tpl fld="0" item="8"/>
        </tpls>
      </n>
      <n v="3090">
        <tpls c="3">
          <tpl fld="2" item="0"/>
          <tpl fld="3" item="489"/>
          <tpl fld="0" item="4"/>
        </tpls>
      </n>
      <n v="2208">
        <tpls c="3">
          <tpl fld="2" item="0"/>
          <tpl fld="3" item="490"/>
          <tpl fld="0" item="11"/>
        </tpls>
      </n>
      <n v="5356.7999999999993">
        <tpls c="3">
          <tpl fld="2" item="0"/>
          <tpl fld="3" item="392"/>
          <tpl fld="0" item="4"/>
        </tpls>
      </n>
      <n v="3348">
        <tpls c="3">
          <tpl fld="2" item="0"/>
          <tpl fld="3" item="390"/>
          <tpl fld="0" item="8"/>
        </tpls>
      </n>
      <n v="3240">
        <tpls c="3">
          <tpl fld="2" item="0"/>
          <tpl fld="3" item="389"/>
          <tpl fld="0" item="8"/>
        </tpls>
      </n>
      <n v="6240">
        <tpls c="3">
          <tpl fld="2" item="0"/>
          <tpl fld="3" item="388"/>
          <tpl fld="0" item="1"/>
        </tpls>
      </n>
      <n v="10164">
        <tpls c="3">
          <tpl fld="2" item="0"/>
          <tpl fld="3" item="386"/>
          <tpl fld="0" item="5"/>
        </tpls>
      </n>
      <n v="12739.960799999999">
        <tpls c="3">
          <tpl fld="2" item="0"/>
          <tpl fld="3" item="384"/>
          <tpl fld="0" item="5"/>
        </tpls>
      </n>
      <n v="8100">
        <tpls c="3">
          <tpl fld="2" item="0"/>
          <tpl fld="3" item="382"/>
          <tpl fld="0" item="5"/>
        </tpls>
      </n>
      <n v="3840.0767999999998">
        <tpls c="3">
          <tpl fld="2" item="0"/>
          <tpl fld="3" item="381"/>
          <tpl fld="0" item="3"/>
        </tpls>
      </n>
      <n v="12720">
        <tpls c="3">
          <tpl fld="2" item="0"/>
          <tpl fld="3" item="379"/>
          <tpl fld="0" item="10"/>
        </tpls>
      </n>
      <n v="6600.0000000000009">
        <tpls c="3">
          <tpl fld="2" item="0"/>
          <tpl fld="3" item="378"/>
          <tpl fld="0" item="10"/>
        </tpls>
      </n>
      <n v="7557.5999999999995">
        <tpls c="3">
          <tpl fld="2" item="0"/>
          <tpl fld="3" item="377"/>
          <tpl fld="0" item="10"/>
        </tpls>
      </n>
      <n v="8568">
        <tpls c="3">
          <tpl fld="2" item="0"/>
          <tpl fld="3" item="376"/>
          <tpl fld="0" item="9"/>
        </tpls>
      </n>
      <n v="16650.48">
        <tpls c="3">
          <tpl fld="2" item="0"/>
          <tpl fld="3" item="373"/>
          <tpl fld="0" item="6"/>
        </tpls>
      </n>
      <n v="12720">
        <tpls c="3">
          <tpl fld="2" item="0"/>
          <tpl fld="3" item="371"/>
          <tpl fld="0" item="2"/>
        </tpls>
      </n>
      <n v="2568">
        <tpls c="3">
          <tpl fld="2" item="0"/>
          <tpl fld="3" item="370"/>
          <tpl fld="0" item="2"/>
        </tpls>
      </n>
      <n v="2730">
        <tpls c="3">
          <tpl fld="2" item="0"/>
          <tpl fld="3" item="368"/>
          <tpl fld="0" item="11"/>
        </tpls>
      </n>
      <n v="4992">
        <tpls c="3">
          <tpl fld="2" item="0"/>
          <tpl fld="3" item="366"/>
          <tpl fld="0" item="4"/>
        </tpls>
      </n>
      <n v="6739.2">
        <tpls c="3">
          <tpl fld="2" item="0"/>
          <tpl fld="3" item="365"/>
          <tpl fld="0" item="4"/>
        </tpls>
      </n>
      <n v="3816">
        <tpls c="3">
          <tpl fld="2" item="0"/>
          <tpl fld="3" item="363"/>
          <tpl fld="0" item="8"/>
        </tpls>
      </n>
      <n v="46200.000000000007">
        <tpls c="3">
          <tpl fld="2" item="0"/>
          <tpl fld="3" item="257"/>
          <tpl fld="0" item="8"/>
        </tpls>
      </n>
      <n v="1960.0391999999999">
        <tpls c="3">
          <tpl fld="2" item="0"/>
          <tpl fld="3" item="361"/>
          <tpl fld="0" item="1"/>
        </tpls>
      </n>
      <n v="3744">
        <tpls c="3">
          <tpl fld="2" item="0"/>
          <tpl fld="3" item="253"/>
          <tpl fld="0" item="5"/>
        </tpls>
      </n>
      <n v="20000">
        <tpls c="3">
          <tpl fld="2" item="0"/>
          <tpl fld="3" item="359"/>
          <tpl fld="0" item="7"/>
        </tpls>
      </n>
      <n v="1188">
        <tpls c="3">
          <tpl fld="2" item="0"/>
          <tpl fld="3" item="357"/>
          <tpl fld="0" item="2"/>
        </tpls>
      </n>
      <n v="7776.0000000000009">
        <tpls c="3">
          <tpl fld="2" item="0"/>
          <tpl fld="3" item="245"/>
          <tpl fld="0" item="2"/>
        </tpls>
      </n>
      <n v="3420">
        <tpls c="3">
          <tpl fld="2" item="0"/>
          <tpl fld="3" item="355"/>
          <tpl fld="0" item="11"/>
        </tpls>
      </n>
      <n v="1881.6">
        <tpls c="3">
          <tpl fld="2" item="0"/>
          <tpl fld="3" item="241"/>
          <tpl fld="0" item="11"/>
        </tpls>
      </n>
      <n v="1854">
        <tpls c="3">
          <tpl fld="2" item="0"/>
          <tpl fld="3" item="353"/>
          <tpl fld="0" item="4"/>
        </tpls>
      </n>
      <n v="1932">
        <tpls c="3">
          <tpl fld="2" item="0"/>
          <tpl fld="3" item="237"/>
          <tpl fld="0" item="4"/>
        </tpls>
      </n>
      <n v="2646">
        <tpls c="3">
          <tpl fld="2" item="0"/>
          <tpl fld="3" item="351"/>
          <tpl fld="0" item="8"/>
        </tpls>
      </n>
      <n v="3272.4">
        <tpls c="3">
          <tpl fld="2" item="0"/>
          <tpl fld="3" item="233"/>
          <tpl fld="0" item="8"/>
        </tpls>
      </n>
      <n v="3142.8">
        <tpls c="3">
          <tpl fld="2" item="0"/>
          <tpl fld="3" item="349"/>
          <tpl fld="0" item="1"/>
        </tpls>
      </n>
      <n v="1058.4000000000001">
        <tpls c="3">
          <tpl fld="2" item="0"/>
          <tpl fld="3" item="229"/>
          <tpl fld="0" item="5"/>
        </tpls>
      </n>
      <n v="51226.560000000005">
        <tpls c="3">
          <tpl fld="2" item="0"/>
          <tpl fld="3" item="347"/>
          <tpl fld="0" item="3"/>
        </tpls>
      </n>
      <n v="1652.3999999999999">
        <tpls c="3">
          <tpl fld="2" item="0"/>
          <tpl fld="3" item="225"/>
          <tpl fld="0" item="7"/>
        </tpls>
      </n>
      <n v="3434.4">
        <tpls c="3">
          <tpl fld="2" item="0"/>
          <tpl fld="3" item="345"/>
          <tpl fld="0" item="0"/>
        </tpls>
      </n>
      <n v="2131.92">
        <tpls c="3">
          <tpl fld="2" item="0"/>
          <tpl fld="3" item="221"/>
          <tpl fld="0" item="0"/>
        </tpls>
      </n>
      <n v="8748">
        <tpls c="3">
          <tpl fld="2" item="0"/>
          <tpl fld="3" item="343"/>
          <tpl fld="0" item="9"/>
        </tpls>
      </n>
      <n v="10368">
        <tpls c="3">
          <tpl fld="2" item="0"/>
          <tpl fld="3" item="217"/>
          <tpl fld="0" item="6"/>
        </tpls>
      </n>
      <n v="8640">
        <tpls c="3">
          <tpl fld="2" item="0"/>
          <tpl fld="3" item="341"/>
          <tpl fld="0" item="11"/>
        </tpls>
      </n>
      <n v="1324.8">
        <tpls c="3">
          <tpl fld="2" item="0"/>
          <tpl fld="3" item="213"/>
          <tpl fld="0" item="8"/>
        </tpls>
      </n>
      <n v="2772">
        <tpls c="3">
          <tpl fld="2" item="0"/>
          <tpl fld="3" item="339"/>
          <tpl fld="0" item="7"/>
        </tpls>
      </n>
      <n v="5529.5999999999995">
        <tpls c="3">
          <tpl fld="2" item="0"/>
          <tpl fld="3" item="209"/>
          <tpl fld="0" item="7"/>
        </tpls>
      </n>
      <n v="6277.4999999999991">
        <tpls c="3">
          <tpl fld="2" item="0"/>
          <tpl fld="3" item="337"/>
          <tpl fld="0" item="0"/>
        </tpls>
      </n>
      <n v="2484">
        <tpls c="3">
          <tpl fld="2" item="0"/>
          <tpl fld="3" item="205"/>
          <tpl fld="0" item="0"/>
        </tpls>
      </n>
      <n v="4665.6000000000004">
        <tpls c="3">
          <tpl fld="2" item="0"/>
          <tpl fld="3" item="335"/>
          <tpl fld="0" item="10"/>
        </tpls>
      </n>
      <n v="5346">
        <tpls c="3">
          <tpl fld="2" item="0"/>
          <tpl fld="3" item="201"/>
          <tpl fld="0" item="10"/>
        </tpls>
      </n>
      <n v="1248">
        <tpls c="3">
          <tpl fld="2" item="0"/>
          <tpl fld="3" item="333"/>
          <tpl fld="0" item="2"/>
        </tpls>
      </n>
      <n v="4838.3999999999996">
        <tpls c="3">
          <tpl fld="2" item="0"/>
          <tpl fld="3" item="197"/>
          <tpl fld="0" item="11"/>
        </tpls>
      </n>
      <n v="1952.9999999999998">
        <tpls c="3">
          <tpl fld="2" item="0"/>
          <tpl fld="3" item="331"/>
          <tpl fld="0" item="4"/>
        </tpls>
      </n>
      <n v="6732.0000000000009">
        <tpls c="3">
          <tpl fld="2" item="0"/>
          <tpl fld="3" item="193"/>
          <tpl fld="0" item="8"/>
        </tpls>
      </n>
      <n v="4200.0839999999998">
        <tpls c="3">
          <tpl fld="2" item="0"/>
          <tpl fld="3" item="329"/>
          <tpl fld="0" item="1"/>
        </tpls>
      </n>
      <n v="4888.8">
        <tpls c="3">
          <tpl fld="2" item="0"/>
          <tpl fld="3" item="189"/>
          <tpl fld="0" item="5"/>
        </tpls>
      </n>
      <n v="4400.0880000000006">
        <tpls c="3">
          <tpl fld="2" item="0"/>
          <tpl fld="3" item="327"/>
          <tpl fld="0" item="3"/>
        </tpls>
      </n>
      <n v="2496">
        <tpls c="3">
          <tpl fld="2" item="0"/>
          <tpl fld="3" item="185"/>
          <tpl fld="0" item="7"/>
        </tpls>
      </n>
      <n v="3150">
        <tpls c="3">
          <tpl fld="2" item="0"/>
          <tpl fld="3" item="325"/>
          <tpl fld="0" item="0"/>
        </tpls>
      </n>
      <n v="1164">
        <tpls c="3">
          <tpl fld="2" item="0"/>
          <tpl fld="3" item="181"/>
          <tpl fld="0" item="10"/>
        </tpls>
      </n>
      <n v="1272">
        <tpls c="3">
          <tpl fld="2" item="0"/>
          <tpl fld="3" item="323"/>
          <tpl fld="0" item="9"/>
        </tpls>
      </n>
      <n v="15750">
        <tpls c="3">
          <tpl fld="2" item="0"/>
          <tpl fld="3" item="177"/>
          <tpl fld="0" item="9"/>
        </tpls>
      </n>
      <n v="4320">
        <tpls c="3">
          <tpl fld="2" item="0"/>
          <tpl fld="3" item="321"/>
          <tpl fld="0" item="6"/>
        </tpls>
      </n>
      <n v="4160.16">
        <tpls c="3">
          <tpl fld="2" item="0"/>
          <tpl fld="3" item="173"/>
          <tpl fld="0" item="11"/>
        </tpls>
      </n>
      <n v="13996.8">
        <tpls c="3">
          <tpl fld="2" item="0"/>
          <tpl fld="3" item="319"/>
          <tpl fld="0" item="4"/>
        </tpls>
      </n>
      <n v="6739.2">
        <tpls c="3">
          <tpl fld="2" item="0"/>
          <tpl fld="3" item="169"/>
          <tpl fld="0" item="8"/>
        </tpls>
      </n>
      <n v="6675.6959999999999">
        <tpls c="3">
          <tpl fld="2" item="0"/>
          <tpl fld="3" item="317"/>
          <tpl fld="0" item="3"/>
        </tpls>
      </n>
      <n v="6739.2">
        <tpls c="3">
          <tpl fld="2" item="0"/>
          <tpl fld="3" item="165"/>
          <tpl fld="0" item="0"/>
        </tpls>
      </n>
      <n v="6220.8">
        <tpls c="3">
          <tpl fld="2" item="0"/>
          <tpl fld="3" item="315"/>
          <tpl fld="0" item="10"/>
        </tpls>
      </n>
      <n v="1746">
        <tpls c="3">
          <tpl fld="2" item="0"/>
          <tpl fld="3" item="161"/>
          <tpl fld="0" item="10"/>
        </tpls>
      </n>
      <n v="6048">
        <tpls c="3">
          <tpl fld="2" item="0"/>
          <tpl fld="3" item="313"/>
          <tpl fld="0" item="9"/>
        </tpls>
      </n>
      <n v="1540.8">
        <tpls c="3">
          <tpl fld="2" item="0"/>
          <tpl fld="3" item="157"/>
          <tpl fld="0" item="9"/>
        </tpls>
      </n>
      <n v="2730">
        <tpls c="3">
          <tpl fld="2" item="0"/>
          <tpl fld="3" item="311"/>
          <tpl fld="0" item="11"/>
        </tpls>
      </n>
      <n v="1365">
        <tpls c="3">
          <tpl fld="2" item="0"/>
          <tpl fld="3" item="153"/>
          <tpl fld="0" item="11"/>
        </tpls>
      </n>
      <n v="1530">
        <tpls c="3">
          <tpl fld="2" item="0"/>
          <tpl fld="3" item="309"/>
          <tpl fld="0" item="8"/>
        </tpls>
      </n>
      <n v="6974.9999999999991">
        <tpls c="3">
          <tpl fld="2" item="0"/>
          <tpl fld="3" item="149"/>
          <tpl fld="0" item="1"/>
        </tpls>
      </n>
      <n v="3564">
        <tpls c="3">
          <tpl fld="2" item="0"/>
          <tpl fld="3" item="307"/>
          <tpl fld="0" item="5"/>
        </tpls>
      </n>
      <n v="5184">
        <tpls c="3">
          <tpl fld="2" item="0"/>
          <tpl fld="3" item="145"/>
          <tpl fld="0" item="5"/>
        </tpls>
      </n>
      <n v="4860">
        <tpls c="3">
          <tpl fld="2" item="0"/>
          <tpl fld="3" item="305"/>
          <tpl fld="0" item="3"/>
        </tpls>
      </n>
      <n v="928.2">
        <tpls c="3">
          <tpl fld="2" item="0"/>
          <tpl fld="3" item="141"/>
          <tpl fld="0" item="7"/>
        </tpls>
      </n>
      <n v="1974">
        <tpls c="3">
          <tpl fld="2" item="0"/>
          <tpl fld="3" item="303"/>
          <tpl fld="0" item="7"/>
        </tpls>
      </n>
      <n v="1470">
        <tpls c="3">
          <tpl fld="2" item="0"/>
          <tpl fld="3" item="137"/>
          <tpl fld="0" item="0"/>
        </tpls>
      </n>
      <n v="1500">
        <tpls c="3">
          <tpl fld="2" item="0"/>
          <tpl fld="3" item="301"/>
          <tpl fld="0" item="10"/>
        </tpls>
      </n>
      <n v="1824">
        <tpls c="3">
          <tpl fld="2" item="0"/>
          <tpl fld="3" item="133"/>
          <tpl fld="0" item="10"/>
        </tpls>
      </n>
      <n v="7128">
        <tpls c="3">
          <tpl fld="2" item="0"/>
          <tpl fld="3" item="299"/>
          <tpl fld="0" item="9"/>
        </tpls>
      </n>
      <n v="10220.4">
        <tpls c="3">
          <tpl fld="2" item="0"/>
          <tpl fld="3" item="129"/>
          <tpl fld="0" item="2"/>
        </tpls>
      </n>
      <n v="1526.3999999999999">
        <tpls c="3">
          <tpl fld="2" item="0"/>
          <tpl fld="3" item="297"/>
          <tpl fld="0" item="11"/>
        </tpls>
      </n>
      <n v="5529.5999999999995">
        <tpls c="3">
          <tpl fld="2" item="0"/>
          <tpl fld="3" item="125"/>
          <tpl fld="0" item="4"/>
        </tpls>
      </n>
      <n v="2354.4">
        <tpls c="3">
          <tpl fld="2" item="0"/>
          <tpl fld="3" item="295"/>
          <tpl fld="0" item="8"/>
        </tpls>
      </n>
      <n v="5702.4">
        <tpls c="3">
          <tpl fld="2" item="0"/>
          <tpl fld="3" item="121"/>
          <tpl fld="0" item="8"/>
        </tpls>
      </n>
      <n v="1872">
        <tpls c="3">
          <tpl fld="2" item="0"/>
          <tpl fld="3" item="293"/>
          <tpl fld="0" item="5"/>
        </tpls>
      </n>
      <n v="11198.88">
        <tpls c="3">
          <tpl fld="2" item="0"/>
          <tpl fld="3" item="117"/>
          <tpl fld="0" item="5"/>
        </tpls>
      </n>
      <n v="25974.748799999998">
        <tpls c="3">
          <tpl fld="2" item="0"/>
          <tpl fld="3" item="291"/>
          <tpl fld="0" item="7"/>
        </tpls>
      </n>
      <n v="1638">
        <tpls c="3">
          <tpl fld="2" item="0"/>
          <tpl fld="3" item="113"/>
          <tpl fld="0" item="0"/>
        </tpls>
      </n>
      <n v="10713.6">
        <tpls c="3">
          <tpl fld="2" item="0"/>
          <tpl fld="3" item="289"/>
          <tpl fld="0" item="0"/>
        </tpls>
      </n>
      <n v="1425.6">
        <tpls c="3">
          <tpl fld="2" item="0"/>
          <tpl fld="3" item="109"/>
          <tpl fld="0" item="10"/>
        </tpls>
      </n>
      <n v="7344">
        <tpls c="3">
          <tpl fld="2" item="0"/>
          <tpl fld="3" item="287"/>
          <tpl fld="0" item="9"/>
        </tpls>
      </n>
      <n v="8910">
        <tpls c="3">
          <tpl fld="2" item="0"/>
          <tpl fld="3" item="105"/>
          <tpl fld="0" item="9"/>
        </tpls>
      </n>
      <n v="9374.3999999999978">
        <tpls c="3">
          <tpl fld="2" item="0"/>
          <tpl fld="3" item="285"/>
          <tpl fld="0" item="6"/>
        </tpls>
      </n>
      <n v="3708">
        <tpls c="3">
          <tpl fld="2" item="0"/>
          <tpl fld="3" item="101"/>
          <tpl fld="0" item="6"/>
        </tpls>
      </n>
      <n v="1339.1999999999998">
        <tpls c="3">
          <tpl fld="2" item="0"/>
          <tpl fld="3" item="283"/>
          <tpl fld="0" item="4"/>
        </tpls>
      </n>
      <n v="5450.0436">
        <tpls c="3">
          <tpl fld="2" item="0"/>
          <tpl fld="3" item="97"/>
          <tpl fld="0" item="8"/>
        </tpls>
      </n>
      <n v="5150.0411999999997">
        <tpls c="3">
          <tpl fld="2" item="0"/>
          <tpl fld="3" item="281"/>
          <tpl fld="0" item="1"/>
        </tpls>
      </n>
      <n v="1911">
        <tpls c="3">
          <tpl fld="2" item="0"/>
          <tpl fld="3" item="93"/>
          <tpl fld="0" item="5"/>
        </tpls>
      </n>
      <n v="13080.000000000002">
        <tpls c="3">
          <tpl fld="2" item="0"/>
          <tpl fld="3" item="279"/>
          <tpl fld="0" item="3"/>
        </tpls>
      </n>
      <n v="5562">
        <tpls c="3">
          <tpl fld="2" item="0"/>
          <tpl fld="3" item="89"/>
          <tpl fld="0" item="7"/>
        </tpls>
      </n>
      <n v="1944.0000000000002">
        <tpls c="3">
          <tpl fld="2" item="0"/>
          <tpl fld="3" item="277"/>
          <tpl fld="0" item="0"/>
        </tpls>
      </n>
      <n v="3270.0000000000005">
        <tpls c="3">
          <tpl fld="2" item="0"/>
          <tpl fld="3" item="85"/>
          <tpl fld="0" item="0"/>
        </tpls>
      </n>
      <n v="1425">
        <tpls c="3">
          <tpl fld="2" item="0"/>
          <tpl fld="3" item="275"/>
          <tpl fld="0" item="9"/>
        </tpls>
      </n>
      <n v="7811.9999999999991">
        <tpls c="3">
          <tpl fld="2" item="0"/>
          <tpl fld="3" item="81"/>
          <tpl fld="0" item="6"/>
        </tpls>
      </n>
      <n v="18540">
        <tpls c="3">
          <tpl fld="2" item="0"/>
          <tpl fld="3" item="50"/>
          <tpl fld="0" item="1"/>
        </tpls>
      </n>
      <n v="2044.08">
        <tpls c="3">
          <tpl fld="2" item="0"/>
          <tpl fld="3" item="48"/>
          <tpl fld="0" item="0"/>
        </tpls>
      </n>
      <n v="23100.000000000004">
        <tpls c="3">
          <tpl fld="2" item="0"/>
          <tpl fld="3" item="41"/>
          <tpl fld="0" item="8"/>
        </tpls>
      </n>
      <n v="5940">
        <tpls c="3">
          <tpl fld="2" item="0"/>
          <tpl fld="3" item="271"/>
          <tpl fld="0" item="8"/>
        </tpls>
      </n>
      <n v="5760">
        <tpls c="3">
          <tpl fld="2" item="0"/>
          <tpl fld="3" item="73"/>
          <tpl fld="0" item="1"/>
        </tpls>
      </n>
      <n v="3090">
        <tpls c="3">
          <tpl fld="2" item="0"/>
          <tpl fld="3" item="34"/>
          <tpl fld="0" item="7"/>
        </tpls>
      </n>
      <n v="8064">
        <tpls c="3">
          <tpl fld="2" item="0"/>
          <tpl fld="3" item="32"/>
          <tpl fld="0" item="0"/>
        </tpls>
      </n>
      <n v="3816">
        <tpls c="3">
          <tpl fld="2" item="0"/>
          <tpl fld="3" item="25"/>
          <tpl fld="0" item="3"/>
        </tpls>
      </n>
      <n v="1530">
        <tpls c="3">
          <tpl fld="2" item="0"/>
          <tpl fld="3" item="267"/>
          <tpl fld="0" item="3"/>
        </tpls>
      </n>
      <n v="1284">
        <tpls c="3">
          <tpl fld="2" item="0"/>
          <tpl fld="3" item="65"/>
          <tpl fld="0" item="7"/>
        </tpls>
      </n>
      <n v="5016.18">
        <tpls c="3">
          <tpl fld="2" item="0"/>
          <tpl fld="3" item="18"/>
          <tpl fld="0" item="10"/>
        </tpls>
      </n>
      <n v="9707.880000000001">
        <tpls c="3">
          <tpl fld="2" item="0"/>
          <tpl fld="3" item="16"/>
          <tpl fld="0" item="6"/>
        </tpls>
      </n>
      <n v="2514">
        <tpls c="3">
          <tpl fld="2" item="0"/>
          <tpl fld="3" item="9"/>
          <tpl fld="0" item="11"/>
        </tpls>
      </n>
      <n v="8547">
        <tpls c="3">
          <tpl fld="2" item="0"/>
          <tpl fld="3" item="263"/>
          <tpl fld="0" item="6"/>
        </tpls>
      </n>
      <n v="2958">
        <tpls c="3">
          <tpl fld="2" item="0"/>
          <tpl fld="3" item="261"/>
          <tpl fld="0" item="2"/>
        </tpls>
      </n>
      <n v="3402">
        <tpls c="3">
          <tpl fld="2" item="0"/>
          <tpl fld="3" item="80"/>
          <tpl fld="0" item="11"/>
        </tpls>
      </n>
      <n v="1030">
        <tpls c="3">
          <tpl fld="2" item="0"/>
          <tpl fld="3" item="51"/>
          <tpl fld="0" item="8"/>
        </tpls>
      </n>
      <n v="10152">
        <tpls c="3">
          <tpl fld="2" item="0"/>
          <tpl fld="3" item="78"/>
          <tpl fld="0" item="3"/>
        </tpls>
      </n>
      <n v="2400">
        <tpls c="3">
          <tpl fld="2" item="0"/>
          <tpl fld="3" item="47"/>
          <tpl fld="0" item="0"/>
        </tpls>
      </n>
      <n v="1455">
        <tpls c="3">
          <tpl fld="2" item="0"/>
          <tpl fld="3" item="76"/>
          <tpl fld="0" item="9"/>
        </tpls>
      </n>
      <n v="13080.000000000002">
        <tpls c="3">
          <tpl fld="2" item="0"/>
          <tpl fld="3" item="43"/>
          <tpl fld="0" item="6"/>
        </tpls>
      </n>
      <n v="1140">
        <tpls c="3">
          <tpl fld="2" item="0"/>
          <tpl fld="3" item="74"/>
          <tpl fld="0" item="4"/>
        </tpls>
      </n>
      <n v="5936.4">
        <tpls c="3">
          <tpl fld="2" item="0"/>
          <tpl fld="3" item="39"/>
          <tpl fld="0" item="1"/>
        </tpls>
      </n>
      <n v="3780">
        <tpls c="3">
          <tpl fld="2" item="0"/>
          <tpl fld="3" item="72"/>
          <tpl fld="0" item="5"/>
        </tpls>
      </n>
      <n v="8962.7999999999993">
        <tpls c="3">
          <tpl fld="2" item="0"/>
          <tpl fld="3" item="35"/>
          <tpl fld="0" item="5"/>
        </tpls>
      </n>
      <n v="4007.6400000000003">
        <tpls c="3">
          <tpl fld="2" item="0"/>
          <tpl fld="3" item="70"/>
          <tpl fld="0" item="0"/>
        </tpls>
      </n>
      <n v="3767.52">
        <tpls c="3">
          <tpl fld="2" item="0"/>
          <tpl fld="3" item="31"/>
          <tpl fld="0" item="10"/>
        </tpls>
      </n>
      <n v="16920">
        <tpls c="3">
          <tpl fld="2" item="0"/>
          <tpl fld="3" item="68"/>
          <tpl fld="0" item="10"/>
        </tpls>
      </n>
      <n v="5520">
        <tpls c="3">
          <tpl fld="2" item="0"/>
          <tpl fld="3" item="27"/>
          <tpl fld="0" item="6"/>
        </tpls>
      </n>
      <n v="6600.0000000000009">
        <tpls c="3">
          <tpl fld="2" item="0"/>
          <tpl fld="3" item="66"/>
          <tpl fld="0" item="3"/>
        </tpls>
      </n>
      <n v="2401.92">
        <tpls c="3">
          <tpl fld="2" item="0"/>
          <tpl fld="3" item="23"/>
          <tpl fld="0" item="3"/>
        </tpls>
      </n>
      <n v="20804.16">
        <tpls c="3">
          <tpl fld="2" item="0"/>
          <tpl fld="3" item="64"/>
          <tpl fld="0" item="0"/>
        </tpls>
      </n>
      <n v="9101.82">
        <tpls c="3">
          <tpl fld="2" item="0"/>
          <tpl fld="3" item="19"/>
          <tpl fld="0" item="0"/>
        </tpls>
      </n>
      <n v="1188">
        <tpls c="3">
          <tpl fld="2" item="0"/>
          <tpl fld="3" item="62"/>
          <tpl fld="0" item="9"/>
        </tpls>
      </n>
      <n v="2352">
        <tpls c="3">
          <tpl fld="2" item="0"/>
          <tpl fld="3" item="15"/>
          <tpl fld="0" item="2"/>
        </tpls>
      </n>
      <n v="1890">
        <tpls c="3">
          <tpl fld="2" item="0"/>
          <tpl fld="3" item="60"/>
          <tpl fld="0" item="11"/>
        </tpls>
      </n>
      <n v="3520">
        <tpls c="3">
          <tpl fld="2" item="0"/>
          <tpl fld="3" item="11"/>
          <tpl fld="0" item="2"/>
        </tpls>
      </n>
      <n v="5254">
        <tpls c="3">
          <tpl fld="2" item="0"/>
          <tpl fld="3" item="58"/>
          <tpl fld="0" item="2"/>
        </tpls>
      </n>
      <n v="1425">
        <tpls c="3">
          <tpl fld="2" item="0"/>
          <tpl fld="3" item="7"/>
          <tpl fld="0" item="6"/>
        </tpls>
      </n>
      <n v="15850">
        <tpls c="3">
          <tpl fld="2" item="0"/>
          <tpl fld="3" item="57"/>
          <tpl fld="0" item="10"/>
        </tpls>
      </n>
      <n v="8542">
        <tpls c="3">
          <tpl fld="2" item="0"/>
          <tpl fld="3" item="56"/>
          <tpl fld="0" item="3"/>
        </tpls>
      </n>
      <n v="8584">
        <tpls c="3">
          <tpl fld="2" item="0"/>
          <tpl fld="3" item="55"/>
          <tpl fld="0" item="2"/>
        </tpls>
      </n>
      <n v="15000">
        <tpls c="3">
          <tpl fld="2" item="0"/>
          <tpl fld="3" item="54"/>
          <tpl fld="0" item="5"/>
        </tpls>
      </n>
      <n v="1452">
        <tpls c="3">
          <tpl fld="2" item="0"/>
          <tpl fld="3" item="2"/>
          <tpl fld="0" item="2"/>
        </tpls>
      </n>
      <n v="3401196.3860880006">
        <tpls c="2">
          <tpl fld="2" item="0"/>
          <tpl hier="1" item="4294967295"/>
        </tpls>
      </n>
      <n v="7604">
        <tpls c="3">
          <tpl fld="2" item="0"/>
          <tpl fld="3" item="5"/>
          <tpl fld="0" item="10"/>
        </tpls>
      </n>
      <n v="10750">
        <tpls c="3">
          <tpl fld="2" item="0"/>
          <tpl fld="3" item="4"/>
          <tpl fld="0" item="3"/>
        </tpls>
      </n>
      <n v="12850">
        <tpls c="3">
          <tpl fld="2" item="0"/>
          <tpl fld="3" item="3"/>
          <tpl fld="0" item="7"/>
        </tpls>
      </n>
      <n v="2597">
        <tpls c="3">
          <tpl fld="2" item="0"/>
          <tpl fld="3" item="1"/>
          <tpl fld="0" item="2"/>
        </tpls>
      </n>
      <n v="11500">
        <tpls c="3">
          <tpl fld="2" item="0"/>
          <tpl fld="3" item="0"/>
          <tpl fld="0" item="6"/>
        </tpls>
      </n>
      <n v="1">
        <tpls c="3">
          <tpl fld="2" item="1"/>
          <tpl fld="0" item="11"/>
          <tpl fld="1" item="2"/>
        </tpls>
      </n>
      <n v="11">
        <tpls c="3">
          <tpl fld="2" item="1"/>
          <tpl fld="0" item="5"/>
          <tpl fld="1" item="2"/>
        </tpls>
      </n>
      <n v="7">
        <tpls c="3">
          <tpl fld="2" item="1"/>
          <tpl fld="0" item="10"/>
          <tpl fld="1" item="2"/>
        </tpls>
      </n>
      <n v="8">
        <tpls c="3">
          <tpl fld="2" item="1"/>
          <tpl fld="0" item="2"/>
          <tpl fld="1" item="1"/>
        </tpls>
      </n>
      <n v="14">
        <tpls c="3">
          <tpl fld="2" item="1"/>
          <tpl fld="0" item="1"/>
          <tpl fld="1" item="1"/>
        </tpls>
      </n>
      <n v="10">
        <tpls c="3">
          <tpl fld="2" item="1"/>
          <tpl fld="0" item="0"/>
          <tpl fld="1" item="1"/>
        </tpls>
      </n>
      <n v="157">
        <tpls c="3">
          <tpl fld="2" item="1"/>
          <tpl hier="5" item="4294967295"/>
          <tpl fld="1" item="1"/>
        </tpls>
      </n>
      <n v="2">
        <tpls c="3">
          <tpl fld="2" item="1"/>
          <tpl fld="0" item="8"/>
          <tpl fld="1" item="3"/>
        </tpls>
      </n>
      <n v="3">
        <tpls c="3">
          <tpl fld="2" item="1"/>
          <tpl fld="0" item="7"/>
          <tpl fld="1" item="3"/>
        </tpls>
      </n>
      <n v="1">
        <tpls c="3">
          <tpl fld="2" item="1"/>
          <tpl fld="0" item="6"/>
          <tpl fld="1" item="3"/>
        </tpls>
      </n>
      <n v="27">
        <tpls c="3">
          <tpl fld="2" item="1"/>
          <tpl fld="0" item="4"/>
          <tpl fld="1" item="0"/>
        </tpls>
      </n>
      <n v="15">
        <tpls c="3">
          <tpl fld="2" item="1"/>
          <tpl fld="0" item="3"/>
          <tpl fld="1" item="0"/>
        </tpls>
      </n>
      <n v="17">
        <tpls c="3">
          <tpl fld="2" item="1"/>
          <tpl fld="0" item="9"/>
          <tpl fld="1" item="0"/>
        </tpls>
      </n>
      <n v="45">
        <tpls c="3">
          <tpl fld="2" item="1"/>
          <tpl fld="0" item="11"/>
          <tpl hier="7" item="4294967295"/>
        </tpls>
      </n>
      <n v="50">
        <tpls c="3">
          <tpl fld="2" item="1"/>
          <tpl fld="0" item="5"/>
          <tpl hier="7" item="4294967295"/>
        </tpls>
      </n>
      <n v="8">
        <tpls c="3">
          <tpl fld="2" item="1"/>
          <tpl fld="0" item="3"/>
          <tpl fld="1" item="2"/>
        </tpls>
      </n>
      <n v="8">
        <tpls c="3">
          <tpl fld="2" item="1"/>
          <tpl fld="0" item="11"/>
          <tpl fld="1" item="1"/>
        </tpls>
      </n>
      <n v="1">
        <tpls c="3">
          <tpl fld="2" item="1"/>
          <tpl fld="0" item="2"/>
          <tpl fld="1" item="3"/>
        </tpls>
      </n>
      <m>
        <tpls c="3">
          <tpl fld="2" item="1"/>
          <tpl fld="0" item="1"/>
          <tpl fld="1" item="3"/>
        </tpls>
      </m>
      <n v="4">
        <tpls c="3">
          <tpl fld="2" item="1"/>
          <tpl fld="0" item="0"/>
          <tpl fld="1" item="3"/>
        </tpls>
      </n>
      <n v="24">
        <tpls c="3">
          <tpl fld="2" item="1"/>
          <tpl fld="0" item="8"/>
          <tpl fld="1" item="0"/>
        </tpls>
      </n>
      <n v="21">
        <tpls c="3">
          <tpl fld="2" item="1"/>
          <tpl fld="0" item="6"/>
          <tpl fld="1" item="0"/>
        </tpls>
      </n>
      <n v="41">
        <tpls c="3">
          <tpl fld="2" item="1"/>
          <tpl fld="0" item="4"/>
          <tpl hier="7" item="4294967295"/>
        </tpls>
      </n>
      <n v="35">
        <tpls c="3">
          <tpl fld="2" item="1"/>
          <tpl fld="0" item="3"/>
          <tpl hier="7" item="4294967295"/>
        </tpls>
      </n>
      <n v="6">
        <tpls c="3">
          <tpl fld="2" item="1"/>
          <tpl fld="0" item="2"/>
          <tpl fld="1" item="2"/>
        </tpls>
      </n>
      <n v="12">
        <tpls c="3">
          <tpl fld="2" item="1"/>
          <tpl fld="0" item="1"/>
          <tpl fld="1" item="2"/>
        </tpls>
      </n>
      <n v="9">
        <tpls c="3">
          <tpl fld="2" item="1"/>
          <tpl fld="0" item="0"/>
          <tpl fld="1" item="2"/>
        </tpls>
      </n>
      <n v="78">
        <tpls c="3">
          <tpl fld="2" item="1"/>
          <tpl hier="5" item="4294967295"/>
          <tpl fld="1" item="2"/>
        </tpls>
      </n>
      <n v="20">
        <tpls c="3">
          <tpl fld="2" item="1"/>
          <tpl fld="0" item="8"/>
          <tpl fld="1" item="1"/>
        </tpls>
      </n>
      <n v="12">
        <tpls c="3">
          <tpl fld="2" item="1"/>
          <tpl fld="0" item="7"/>
          <tpl fld="1" item="1"/>
        </tpls>
      </n>
      <n v="11">
        <tpls c="3">
          <tpl fld="2" item="1"/>
          <tpl fld="0" item="6"/>
          <tpl fld="1" item="1"/>
        </tpls>
      </n>
      <m>
        <tpls c="3">
          <tpl fld="2" item="1"/>
          <tpl fld="0" item="4"/>
          <tpl fld="1" item="3"/>
        </tpls>
      </m>
      <n v="3">
        <tpls c="3">
          <tpl fld="2" item="1"/>
          <tpl fld="0" item="3"/>
          <tpl fld="1" item="3"/>
        </tpls>
      </n>
      <n v="1">
        <tpls c="3">
          <tpl fld="2" item="1"/>
          <tpl fld="0" item="9"/>
          <tpl fld="1" item="3"/>
        </tpls>
      </n>
      <n v="35">
        <tpls c="3">
          <tpl fld="2" item="1"/>
          <tpl fld="0" item="11"/>
          <tpl fld="1" item="0"/>
        </tpls>
      </n>
      <n v="21">
        <tpls c="3">
          <tpl fld="2" item="1"/>
          <tpl fld="0" item="5"/>
          <tpl fld="1" item="0"/>
        </tpls>
      </n>
      <n v="26">
        <tpls c="3">
          <tpl fld="2" item="1"/>
          <tpl fld="0" item="10"/>
          <tpl fld="1" item="0"/>
        </tpls>
      </n>
      <n v="37">
        <tpls c="3">
          <tpl fld="2" item="1"/>
          <tpl fld="0" item="2"/>
          <tpl hier="7" item="4294967295"/>
        </tpls>
      </n>
      <n v="39">
        <tpls c="3">
          <tpl fld="2" item="1"/>
          <tpl fld="0" item="1"/>
          <tpl hier="7" item="4294967295"/>
        </tpls>
      </n>
      <n v="57">
        <tpls c="3">
          <tpl fld="2" item="1"/>
          <tpl fld="0" item="0"/>
          <tpl hier="7" item="4294967295"/>
        </tpls>
      </n>
      <n v="526">
        <tpls c="3">
          <tpl fld="2" item="1"/>
          <tpl hier="5" item="4294967295"/>
          <tpl hier="7" item="4294967295"/>
        </tpls>
      </n>
      <n v="148238.55839999998">
        <tpls c="3">
          <tpl fld="2" item="0"/>
          <tpl fld="0" item="5"/>
          <tpl fld="1" item="2"/>
        </tpls>
      </n>
      <n v="55556.800000000003">
        <tpls c="3">
          <tpl fld="2" item="0"/>
          <tpl fld="0" item="2"/>
          <tpl fld="1" item="1"/>
        </tpls>
      </n>
      <n v="75945.239999999991">
        <tpls c="3">
          <tpl fld="2" item="0"/>
          <tpl fld="0" item="0"/>
          <tpl fld="1" item="1"/>
        </tpls>
      </n>
      <n v="69300.000000000015">
        <tpls c="3">
          <tpl fld="2" item="0"/>
          <tpl fld="0" item="8"/>
          <tpl fld="1" item="3"/>
        </tpls>
      </n>
      <n v="70974.748800000001">
        <tpls c="3">
          <tpl fld="2" item="0"/>
          <tpl fld="0" item="7"/>
          <tpl fld="1" item="3"/>
        </tpls>
      </n>
      <n v="65843.399999999994">
        <tpls c="3">
          <tpl fld="2" item="0"/>
          <tpl fld="0" item="4"/>
          <tpl fld="1" item="0"/>
        </tpls>
      </n>
      <n v="34546.800000000003">
        <tpls c="3">
          <tpl fld="2" item="0"/>
          <tpl fld="0" item="9"/>
          <tpl fld="1" item="0"/>
        </tpls>
      </n>
      <n v="375116.87280000001">
        <tpls c="3">
          <tpl fld="2" item="0"/>
          <tpl fld="0" item="5"/>
          <tpl hier="7" item="4294967295"/>
        </tpls>
      </n>
      <n v="71100">
        <tpls c="3">
          <tpl fld="2" item="0"/>
          <tpl fld="0" item="8"/>
          <tpl fld="1" item="2"/>
        </tpls>
      </n>
      <n v="37060">
        <tpls c="3">
          <tpl fld="2" item="0"/>
          <tpl fld="0" item="7"/>
          <tpl fld="1" item="2"/>
        </tpls>
      </n>
      <n v="78684.87999999999">
        <tpls c="3">
          <tpl fld="2" item="0"/>
          <tpl fld="0" item="6"/>
          <tpl fld="1" item="2"/>
        </tpls>
      </n>
      <n v="69700.761839999992">
        <tpls c="3">
          <tpl fld="2" item="0"/>
          <tpl fld="0" item="4"/>
          <tpl fld="1" item="1"/>
        </tpls>
      </n>
      <n v="68686.573600000003">
        <tpls c="3">
          <tpl fld="2" item="0"/>
          <tpl fld="0" item="3"/>
          <tpl fld="1" item="1"/>
        </tpls>
      </n>
      <n v="130064.37039999999">
        <tpls c="3">
          <tpl fld="2" item="0"/>
          <tpl fld="0" item="9"/>
          <tpl fld="1" item="1"/>
        </tpls>
      </n>
      <n v="28005.120000000003">
        <tpls c="3">
          <tpl fld="2" item="0"/>
          <tpl fld="0" item="11"/>
          <tpl fld="1" item="3"/>
        </tpls>
      </n>
      <n v="61080">
        <tpls c="3">
          <tpl fld="2" item="0"/>
          <tpl fld="0" item="5"/>
          <tpl fld="1" item="3"/>
        </tpls>
      </n>
      <m>
        <tpls c="3">
          <tpl fld="2" item="0"/>
          <tpl fld="0" item="10"/>
          <tpl fld="1" item="3"/>
        </tpls>
      </m>
      <n v="54739.08">
        <tpls c="3">
          <tpl fld="2" item="0"/>
          <tpl fld="0" item="2"/>
          <tpl fld="1" item="0"/>
        </tpls>
      </n>
      <n v="33601.3632">
        <tpls c="3">
          <tpl fld="2" item="0"/>
          <tpl fld="0" item="1"/>
          <tpl fld="1" item="0"/>
        </tpls>
      </n>
      <n v="87465.583200000008">
        <tpls c="3">
          <tpl fld="2" item="0"/>
          <tpl fld="0" item="0"/>
          <tpl fld="1" item="0"/>
        </tpls>
      </n>
      <n v="707702.64845599991">
        <tpls c="3">
          <tpl fld="2" item="0"/>
          <tpl hier="5" item="4294967295"/>
          <tpl fld="1" item="0"/>
        </tpls>
      </n>
      <n v="336667.49959999998">
        <tpls c="3">
          <tpl fld="2" item="0"/>
          <tpl fld="0" item="8"/>
          <tpl hier="7" item="4294967295"/>
        </tpls>
      </n>
      <n v="231661.89207999999">
        <tpls c="3">
          <tpl fld="2" item="0"/>
          <tpl fld="0" item="7"/>
          <tpl hier="7" item="4294967295"/>
        </tpls>
      </n>
      <n v="242891.80763200004">
        <tpls c="3">
          <tpl fld="2" item="0"/>
          <tpl fld="0" item="6"/>
          <tpl hier="7" item="4294967295"/>
        </tpls>
      </n>
      <n v="195073.10073599999">
        <tpls c="3">
          <tpl fld="2" item="0"/>
          <tpl fld="0" item="11"/>
          <tpl hier="7" item="4294967295"/>
        </tpls>
      </n>
      <n v="83620.478399999993">
        <tpls c="3">
          <tpl fld="2" item="0"/>
          <tpl fld="0" item="2"/>
          <tpl fld="1" item="2"/>
        </tpls>
      </n>
      <n v="165160.26">
        <tpls c="3">
          <tpl fld="2" item="0"/>
          <tpl fld="0" item="1"/>
          <tpl fld="1" item="2"/>
        </tpls>
      </n>
      <n v="127809.60000000001">
        <tpls c="3">
          <tpl fld="2" item="0"/>
          <tpl fld="0" item="0"/>
          <tpl fld="1" item="2"/>
        </tpls>
      </n>
      <n v="1071862.9128">
        <tpls c="3">
          <tpl fld="2" item="0"/>
          <tpl hier="5" item="4294967295"/>
          <tpl fld="1" item="2"/>
        </tpls>
      </n>
      <n v="135174.96360000002">
        <tpls c="3">
          <tpl fld="2" item="0"/>
          <tpl fld="0" item="8"/>
          <tpl fld="1" item="1"/>
        </tpls>
      </n>
      <n v="78234.095759999997">
        <tpls c="3">
          <tpl fld="2" item="0"/>
          <tpl fld="0" item="7"/>
          <tpl fld="1" item="1"/>
        </tpls>
      </n>
      <n v="78206.924495999992">
        <tpls c="3">
          <tpl fld="2" item="0"/>
          <tpl fld="0" item="6"/>
          <tpl fld="1" item="1"/>
        </tpls>
      </n>
      <m>
        <tpls c="3">
          <tpl fld="2" item="0"/>
          <tpl fld="0" item="4"/>
          <tpl fld="1" item="3"/>
        </tpls>
      </m>
      <n v="104760.72000000002">
        <tpls c="3">
          <tpl fld="2" item="0"/>
          <tpl fld="0" item="3"/>
          <tpl fld="1" item="3"/>
        </tpls>
      </n>
      <n v="40824">
        <tpls c="3">
          <tpl fld="2" item="0"/>
          <tpl fld="0" item="9"/>
          <tpl fld="1" item="3"/>
        </tpls>
      </n>
      <n v="96540.6">
        <tpls c="3">
          <tpl fld="2" item="0"/>
          <tpl fld="0" item="11"/>
          <tpl fld="1" item="0"/>
        </tpls>
      </n>
      <n v="58497.57">
        <tpls c="3">
          <tpl fld="2" item="0"/>
          <tpl fld="0" item="5"/>
          <tpl fld="1" item="0"/>
        </tpls>
      </n>
      <n v="59802.038399999998">
        <tpls c="3">
          <tpl fld="2" item="0"/>
          <tpl fld="0" item="10"/>
          <tpl fld="1" item="0"/>
        </tpls>
      </n>
      <n v="213916.3584">
        <tpls c="3">
          <tpl fld="2" item="0"/>
          <tpl fld="0" item="2"/>
          <tpl hier="7" item="4294967295"/>
        </tpls>
      </n>
      <n v="287315.86439999996">
        <tpls c="3">
          <tpl fld="2" item="0"/>
          <tpl fld="0" item="1"/>
          <tpl hier="7" item="4294967295"/>
        </tpls>
      </n>
      <n v="410663.14320000005">
        <tpls c="3">
          <tpl fld="2" item="0"/>
          <tpl fld="0" item="0"/>
          <tpl hier="7" item="4294967295"/>
        </tpls>
      </n>
      <n v="3401196.3860880006">
        <tpls c="3">
          <tpl fld="2" item="0"/>
          <tpl hier="5" item="4294967295"/>
          <tpl hier="7" item="4294967295"/>
        </tpls>
      </n>
      <n v="61092.536">
        <tpls c="3">
          <tpl fld="2" item="0"/>
          <tpl fld="0" item="8"/>
          <tpl fld="1" item="0"/>
        </tpls>
      </n>
      <n v="45393.047519999993">
        <tpls c="3">
          <tpl fld="2" item="0"/>
          <tpl fld="0" item="7"/>
          <tpl fld="1" item="0"/>
        </tpls>
      </n>
      <n v="61989.203135999996">
        <tpls c="3">
          <tpl fld="2" item="0"/>
          <tpl fld="0" item="6"/>
          <tpl fld="1" item="0"/>
        </tpls>
      </n>
      <n v="50">
        <tpls c="3">
          <tpl fld="2" item="1"/>
          <tpl fld="0" item="8"/>
          <tpl hier="7" item="4294967295"/>
        </tpls>
      </n>
      <n v="36">
        <tpls c="3">
          <tpl fld="2" item="1"/>
          <tpl fld="0" item="7"/>
          <tpl hier="7" item="4294967295"/>
        </tpls>
      </n>
      <n v="39">
        <tpls c="3">
          <tpl fld="2" item="1"/>
          <tpl fld="0" item="6"/>
          <tpl hier="7" item="4294967295"/>
        </tpls>
      </n>
      <n v="4">
        <tpls c="3">
          <tpl fld="2" item="1"/>
          <tpl fld="0" item="8"/>
          <tpl fld="1" item="2"/>
        </tpls>
      </n>
      <n v="3">
        <tpls c="3">
          <tpl fld="2" item="1"/>
          <tpl fld="0" item="7"/>
          <tpl fld="1" item="2"/>
        </tpls>
      </n>
      <n v="6">
        <tpls c="3">
          <tpl fld="2" item="1"/>
          <tpl fld="0" item="6"/>
          <tpl fld="1" item="2"/>
        </tpls>
      </n>
      <n v="18">
        <tpls c="3">
          <tpl fld="2" item="1"/>
          <tpl hier="5" item="4294967295"/>
          <tpl fld="1" item="3"/>
        </tpls>
      </n>
      <n v="273">
        <tpls c="3">
          <tpl fld="2" item="1"/>
          <tpl hier="5" item="4294967295"/>
          <tpl fld="1" item="0"/>
        </tpls>
      </n>
    </entries>
    <queryCache count="547">
      <query mdx="[TPData].[Close Month].&amp;[2019-03-01T00:00:00]">
        <tpls c="1">
          <tpl fld="0" item="0"/>
        </tpls>
      </query>
      <query mdx="[TPData].[Close Month].&amp;[2018-11-01T00:00:00]">
        <tpls c="1">
          <tpl fld="0" item="1"/>
        </tpls>
      </query>
      <query mdx="[TPData].[Close Month].&amp;[2018-07-01T00:00:00]">
        <tpls c="1">
          <tpl fld="0" item="2"/>
        </tpls>
      </query>
      <query mdx="[TPData].[Close Month].&amp;[2019-01-01T00:00:00]">
        <tpls c="1">
          <tpl fld="0" item="3"/>
        </tpls>
      </query>
      <query mdx="[TPData].[Close Month].&amp;[2018-09-01T00:00:00]">
        <tpls c="1">
          <tpl fld="0" item="4"/>
        </tpls>
      </query>
      <query mdx="[TPData].[Close Month].&amp;[2018-12-01T00:00:00]">
        <tpls c="1">
          <tpl fld="0" item="5"/>
        </tpls>
      </query>
      <query mdx="[TPData].[Close Month].&amp;[2019-06-01T00:00:00]">
        <tpls c="1">
          <tpl fld="0" item="6"/>
        </tpls>
      </query>
      <query mdx="[TPData].[Close Month].&amp;[2019-02-01T00:00:00]">
        <tpls c="1">
          <tpl fld="0" item="7"/>
        </tpls>
      </query>
      <query mdx="[TPData].[Close Month].&amp;[2018-10-01T00:00:00]">
        <tpls c="1">
          <tpl fld="0" item="8"/>
        </tpls>
      </query>
      <query mdx="[TPData].[Close Month].&amp;[2019-05-01T00:00:00]">
        <tpls c="1">
          <tpl fld="0" item="9"/>
        </tpls>
      </query>
      <query mdx="[TPData].[Close Month].&amp;[2019-04-01T00:00:00]">
        <tpls c="1">
          <tpl fld="0" item="10"/>
        </tpls>
      </query>
      <query mdx="[TPData].[Close Month].&amp;[2018-08-01T00:00:00]">
        <tpls c="1">
          <tpl fld="0" item="11"/>
        </tpls>
      </query>
      <query mdx="[TPData].[Deal Size].[All]">
        <tpls c="1">
          <tpl hier="7" item="4294967295"/>
        </tpls>
      </query>
      <query mdx="[TPData].[Close Month].[All]">
        <tpls c="1">
          <tpl hier="5" item="4294967295"/>
        </tpls>
      </query>
      <query mdx="[TPData].[Deal Size].&amp;[Small (&lt;5k)]">
        <tpls c="1">
          <tpl fld="1" item="0"/>
        </tpls>
      </query>
      <query mdx="[Measures].[Sum of Annual Contract Value (ACV)]">
        <tpls c="1">
          <tpl fld="2" item="0"/>
        </tpls>
      </query>
      <query mdx="[Measures].[Count of Client]">
        <tpls c="1">
          <tpl fld="2" item="1"/>
        </tpls>
      </query>
      <query mdx="[TPData].[Deal Size].&amp;[Medium (&lt;10k)]">
        <tpls c="1">
          <tpl fld="1" item="1"/>
        </tpls>
      </query>
      <query mdx="[TPData].[Deal Size].&amp;[Large (&lt;20k)]">
        <tpls c="1">
          <tpl fld="1" item="2"/>
        </tpls>
      </query>
      <query mdx="[TPData].[Deal Size].&amp;[Mega (20k+)]">
        <tpls c="1">
          <tpl fld="1" item="3"/>
        </tpls>
      </query>
      <query mdx="[TPData].[Client].&amp;[Client 998]">
        <tpls c="1">
          <tpl fld="3" item="0"/>
        </tpls>
      </query>
      <query mdx="[TPData].[Client].&amp;[Client 996]">
        <tpls c="1">
          <tpl fld="3" item="1"/>
        </tpls>
      </query>
      <query mdx="[TPData].[Client].&amp;[Client 994]">
        <tpls c="1">
          <tpl fld="3" item="2"/>
        </tpls>
      </query>
      <query mdx="[TPData].[Client].&amp;[Client 992]">
        <tpls c="1">
          <tpl fld="3" item="3"/>
        </tpls>
      </query>
      <query mdx="[TPData].[Client].&amp;[Client 990]">
        <tpls c="1">
          <tpl fld="3" item="4"/>
        </tpls>
      </query>
      <query mdx="[TPData].[Client].&amp;[Client 989]">
        <tpls c="1">
          <tpl fld="3" item="5"/>
        </tpls>
      </query>
      <query mdx="[TPData].[Client].&amp;[Client 987]">
        <tpls c="1">
          <tpl fld="3" item="6"/>
        </tpls>
      </query>
      <query mdx="[TPData].[Client].[All]">
        <tpls c="1">
          <tpl hier="1" item="4294967295"/>
        </tpls>
      </query>
      <query mdx="[TPData].[Client].&amp;[Client 985]">
        <tpls c="1">
          <tpl fld="3" item="7"/>
        </tpls>
      </query>
      <query mdx="[TPData].[Client].&amp;[Client 98]">
        <tpls c="1">
          <tpl fld="3" item="8"/>
        </tpls>
      </query>
      <query mdx="[TPData].[Client].&amp;[Client 975]">
        <tpls c="1">
          <tpl fld="3" item="9"/>
        </tpls>
      </query>
      <query mdx="[TPData].[Client].&amp;[Client 973]">
        <tpls c="1">
          <tpl fld="3" item="10"/>
        </tpls>
      </query>
      <query mdx="[TPData].[Client].&amp;[Client 970]">
        <tpls c="1">
          <tpl fld="3" item="11"/>
        </tpls>
      </query>
      <query mdx="[TPData].[Client].&amp;[Client 96]">
        <tpls c="1">
          <tpl fld="3" item="12"/>
        </tpls>
      </query>
      <query mdx="[TPData].[Client].&amp;[Client 94]">
        <tpls c="1">
          <tpl fld="3" item="13"/>
        </tpls>
      </query>
      <query mdx="[TPData].[Client].&amp;[Client 92]">
        <tpls c="1">
          <tpl fld="3" item="14"/>
        </tpls>
      </query>
      <query mdx="[TPData].[Client].&amp;[Client 90]">
        <tpls c="1">
          <tpl fld="3" item="15"/>
        </tpls>
      </query>
      <query mdx="[TPData].[Client].&amp;[Client 88]">
        <tpls c="1">
          <tpl fld="3" item="16"/>
        </tpls>
      </query>
      <query mdx="[TPData].[Client].&amp;[Client 86]">
        <tpls c="1">
          <tpl fld="3" item="17"/>
        </tpls>
      </query>
      <query mdx="[TPData].[Client].&amp;[Client 84]">
        <tpls c="1">
          <tpl fld="3" item="18"/>
        </tpls>
      </query>
      <query mdx="[TPData].[Client].&amp;[Client 82]">
        <tpls c="1">
          <tpl fld="3" item="19"/>
        </tpls>
      </query>
      <query mdx="[TPData].[Client].&amp;[Client 80]">
        <tpls c="1">
          <tpl fld="3" item="20"/>
        </tpls>
      </query>
      <query mdx="[TPData].[Client].&amp;[Client 78]">
        <tpls c="1">
          <tpl fld="3" item="21"/>
        </tpls>
      </query>
      <query mdx="[TPData].[Client].&amp;[Client 76]">
        <tpls c="1">
          <tpl fld="3" item="22"/>
        </tpls>
      </query>
      <query mdx="[TPData].[Client].&amp;[Client 74]">
        <tpls c="1">
          <tpl fld="3" item="23"/>
        </tpls>
      </query>
      <query mdx="[TPData].[Client].&amp;[Client 72]">
        <tpls c="1">
          <tpl fld="3" item="24"/>
        </tpls>
      </query>
      <query mdx="[TPData].[Client].&amp;[Client 70]">
        <tpls c="1">
          <tpl fld="3" item="25"/>
        </tpls>
      </query>
      <query mdx="[TPData].[Client].&amp;[Client 68]">
        <tpls c="1">
          <tpl fld="3" item="26"/>
        </tpls>
      </query>
      <query mdx="[TPData].[Client].&amp;[Client 661]">
        <tpls c="1">
          <tpl fld="3" item="27"/>
        </tpls>
      </query>
      <query mdx="[TPData].[Client].&amp;[Client 66]">
        <tpls c="1">
          <tpl fld="3" item="28"/>
        </tpls>
      </query>
      <query mdx="[TPData].[Client].&amp;[Client 658]">
        <tpls c="1">
          <tpl fld="3" item="29"/>
        </tpls>
      </query>
      <query mdx="[TPData].[Client].&amp;[Client 656]">
        <tpls c="1">
          <tpl fld="3" item="30"/>
        </tpls>
      </query>
      <query mdx="[TPData].[Client].&amp;[Client 654]">
        <tpls c="1">
          <tpl fld="3" item="31"/>
        </tpls>
      </query>
      <query mdx="[TPData].[Client].&amp;[Client 652]">
        <tpls c="1">
          <tpl fld="3" item="32"/>
        </tpls>
      </query>
      <query mdx="[TPData].[Client].&amp;[Client 650]">
        <tpls c="1">
          <tpl fld="3" item="33"/>
        </tpls>
      </query>
      <query mdx="[TPData].[Client].&amp;[Client 649]">
        <tpls c="1">
          <tpl fld="3" item="34"/>
        </tpls>
      </query>
      <query mdx="[TPData].[Client].&amp;[Client 647]">
        <tpls c="1">
          <tpl fld="3" item="35"/>
        </tpls>
      </query>
      <query mdx="[TPData].[Client].&amp;[Client 645]">
        <tpls c="1">
          <tpl fld="3" item="36"/>
        </tpls>
      </query>
      <query mdx="[TPData].[Client].&amp;[Client 643]">
        <tpls c="1">
          <tpl fld="3" item="37"/>
        </tpls>
      </query>
      <query mdx="[TPData].[Client].&amp;[Client 641]">
        <tpls c="1">
          <tpl fld="3" item="38"/>
        </tpls>
      </query>
      <query mdx="[TPData].[Client].&amp;[Client 64]">
        <tpls c="1">
          <tpl fld="3" item="39"/>
        </tpls>
      </query>
      <query mdx="[TPData].[Client].&amp;[Client 638]">
        <tpls c="1">
          <tpl fld="3" item="40"/>
        </tpls>
      </query>
      <query mdx="[TPData].[Client].&amp;[Client 63]">
        <tpls c="1">
          <tpl fld="3" item="41"/>
        </tpls>
      </query>
      <query mdx="[TPData].[Client].&amp;[Client 616]">
        <tpls c="1">
          <tpl fld="3" item="42"/>
        </tpls>
      </query>
      <query mdx="[TPData].[Client].&amp;[Client 614]">
        <tpls c="1">
          <tpl fld="3" item="43"/>
        </tpls>
      </query>
      <query mdx="[TPData].[Client].&amp;[Client 612]">
        <tpls c="1">
          <tpl fld="3" item="44"/>
        </tpls>
      </query>
      <query mdx="[TPData].[Client].&amp;[Client 610]">
        <tpls c="1">
          <tpl fld="3" item="45"/>
        </tpls>
      </query>
      <query mdx="[TPData].[Client].&amp;[Client 609]">
        <tpls c="1">
          <tpl fld="3" item="46"/>
        </tpls>
      </query>
      <query mdx="[TPData].[Client].&amp;[Client 607]">
        <tpls c="1">
          <tpl fld="3" item="47"/>
        </tpls>
      </query>
      <query mdx="[TPData].[Client].&amp;[Client 605]">
        <tpls c="1">
          <tpl fld="3" item="48"/>
        </tpls>
      </query>
      <query mdx="[TPData].[Client].&amp;[Client 603]">
        <tpls c="1">
          <tpl fld="3" item="49"/>
        </tpls>
      </query>
      <query mdx="[TPData].[Client].&amp;[Client 601]">
        <tpls c="1">
          <tpl fld="3" item="50"/>
        </tpls>
      </query>
      <query mdx="[TPData].[Client].&amp;[Client 60]">
        <tpls c="1">
          <tpl fld="3" item="51"/>
        </tpls>
      </query>
      <query mdx="[TPData].[Client].&amp;[Client 598]">
        <tpls c="1">
          <tpl fld="3" item="52"/>
        </tpls>
      </query>
      <query mdx="[TPData].[Client].&amp;[Client 596]">
        <tpls c="1">
          <tpl fld="3" item="53"/>
        </tpls>
      </query>
      <query mdx="[TPData].[Client].&amp;[Client 999]">
        <tpls c="1">
          <tpl fld="3" item="54"/>
        </tpls>
      </query>
      <query mdx="[TPData].[Client].&amp;[Client 995]">
        <tpls c="1">
          <tpl fld="3" item="55"/>
        </tpls>
      </query>
      <query mdx="[TPData].[Client].&amp;[Client 991]">
        <tpls c="1">
          <tpl fld="3" item="56"/>
        </tpls>
      </query>
      <query mdx="[TPData].[Client].&amp;[Client 988]">
        <tpls c="1">
          <tpl fld="3" item="57"/>
        </tpls>
      </query>
      <query mdx="[TPData].[Client].&amp;[Client 976]">
        <tpls c="1">
          <tpl fld="3" item="58"/>
        </tpls>
      </query>
      <query mdx="[TPData].[Client].&amp;[Client 974]">
        <tpls c="1">
          <tpl fld="3" item="59"/>
        </tpls>
      </query>
      <query mdx="[TPData].[Client].&amp;[Client 95]">
        <tpls c="1">
          <tpl fld="3" item="60"/>
        </tpls>
      </query>
      <query mdx="[TPData].[Client].&amp;[Client 93]">
        <tpls c="1">
          <tpl fld="3" item="61"/>
        </tpls>
      </query>
      <query mdx="[TPData].[Client].&amp;[Client 87]">
        <tpls c="1">
          <tpl fld="3" item="62"/>
        </tpls>
      </query>
      <query mdx="[TPData].[Client].&amp;[Client 85]">
        <tpls c="1">
          <tpl fld="3" item="63"/>
        </tpls>
      </query>
      <query mdx="[TPData].[Client].&amp;[Client 79]">
        <tpls c="1">
          <tpl fld="3" item="64"/>
        </tpls>
      </query>
      <query mdx="[TPData].[Client].&amp;[Client 77]">
        <tpls c="1">
          <tpl fld="3" item="65"/>
        </tpls>
      </query>
      <query mdx="[TPData].[Client].&amp;[Client 71]">
        <tpls c="1">
          <tpl fld="3" item="66"/>
        </tpls>
      </query>
      <query mdx="[TPData].[Client].&amp;[Client 69]">
        <tpls c="1">
          <tpl fld="3" item="67"/>
        </tpls>
      </query>
      <query mdx="[TPData].[Client].&amp;[Client 659]">
        <tpls c="1">
          <tpl fld="3" item="68"/>
        </tpls>
      </query>
      <query mdx="[TPData].[Client].&amp;[Client 657]">
        <tpls c="1">
          <tpl fld="3" item="69"/>
        </tpls>
      </query>
      <query mdx="[TPData].[Client].&amp;[Client 651]">
        <tpls c="1">
          <tpl fld="3" item="70"/>
        </tpls>
      </query>
      <query mdx="[TPData].[Client].&amp;[Client 65]">
        <tpls c="1">
          <tpl fld="3" item="71"/>
        </tpls>
      </query>
      <query mdx="[TPData].[Client].&amp;[Client 644]">
        <tpls c="1">
          <tpl fld="3" item="72"/>
        </tpls>
      </query>
      <query mdx="[TPData].[Client].&amp;[Client 642]">
        <tpls c="1">
          <tpl fld="3" item="73"/>
        </tpls>
      </query>
      <query mdx="[TPData].[Client].&amp;[Client 637]">
        <tpls c="1">
          <tpl fld="3" item="74"/>
        </tpls>
      </query>
      <query mdx="[TPData].[Client].&amp;[Client 62]">
        <tpls c="1">
          <tpl fld="3" item="75"/>
        </tpls>
      </query>
      <query mdx="[TPData].[Client].&amp;[Client 611]">
        <tpls c="1">
          <tpl fld="3" item="76"/>
        </tpls>
      </query>
      <query mdx="[TPData].[Client].&amp;[Client 61]">
        <tpls c="1">
          <tpl fld="3" item="77"/>
        </tpls>
      </query>
      <query mdx="[TPData].[Client].&amp;[Client 604]">
        <tpls c="1">
          <tpl fld="3" item="78"/>
        </tpls>
      </query>
      <query mdx="[TPData].[Client].&amp;[Client 602]">
        <tpls c="1">
          <tpl fld="3" item="79"/>
        </tpls>
      </query>
      <query mdx="[TPData].[Client].&amp;[Client 597]">
        <tpls c="1">
          <tpl fld="3" item="80"/>
        </tpls>
      </query>
      <query mdx="[TPData].[Client].&amp;[Client 595]">
        <tpls c="1">
          <tpl fld="3" item="81"/>
        </tpls>
      </query>
      <query mdx="[TPData].[Client].&amp;[Client 593]">
        <tpls c="1">
          <tpl fld="3" item="82"/>
        </tpls>
      </query>
      <query mdx="[TPData].[Client].&amp;[Client 591]">
        <tpls c="1">
          <tpl fld="3" item="83"/>
        </tpls>
      </query>
      <query mdx="[TPData].[Client].&amp;[Client 59]">
        <tpls c="1">
          <tpl fld="3" item="84"/>
        </tpls>
      </query>
      <query mdx="[TPData].[Client].&amp;[Client 588]">
        <tpls c="1">
          <tpl fld="3" item="85"/>
        </tpls>
      </query>
      <query mdx="[TPData].[Client].&amp;[Client 586]">
        <tpls c="1">
          <tpl fld="3" item="86"/>
        </tpls>
      </query>
      <query mdx="[TPData].[Client].&amp;[Client 584]">
        <tpls c="1">
          <tpl fld="3" item="87"/>
        </tpls>
      </query>
      <query mdx="[TPData].[Client].&amp;[Client 582]">
        <tpls c="1">
          <tpl fld="3" item="88"/>
        </tpls>
      </query>
      <query mdx="[TPData].[Client].&amp;[Client 580]">
        <tpls c="1">
          <tpl fld="3" item="89"/>
        </tpls>
      </query>
      <query mdx="[TPData].[Client].&amp;[Client 579]">
        <tpls c="1">
          <tpl fld="3" item="90"/>
        </tpls>
      </query>
      <query mdx="[TPData].[Client].&amp;[Client 577]">
        <tpls c="1">
          <tpl fld="3" item="91"/>
        </tpls>
      </query>
      <query mdx="[TPData].[Client].&amp;[Client 575]">
        <tpls c="1">
          <tpl fld="3" item="92"/>
        </tpls>
      </query>
      <query mdx="[TPData].[Client].&amp;[Client 573]">
        <tpls c="1">
          <tpl fld="3" item="93"/>
        </tpls>
      </query>
      <query mdx="[TPData].[Client].&amp;[Client 571]">
        <tpls c="1">
          <tpl fld="3" item="94"/>
        </tpls>
      </query>
      <query mdx="[TPData].[Client].&amp;[Client 57]">
        <tpls c="1">
          <tpl fld="3" item="95"/>
        </tpls>
      </query>
      <query mdx="[TPData].[Client].&amp;[Client 568]">
        <tpls c="1">
          <tpl fld="3" item="96"/>
        </tpls>
      </query>
      <query mdx="[TPData].[Client].&amp;[Client 566]">
        <tpls c="1">
          <tpl fld="3" item="97"/>
        </tpls>
      </query>
      <query mdx="[TPData].[Client].&amp;[Client 564]">
        <tpls c="1">
          <tpl fld="3" item="98"/>
        </tpls>
      </query>
      <query mdx="[TPData].[Client].&amp;[Client 55]">
        <tpls c="1">
          <tpl fld="3" item="99"/>
        </tpls>
      </query>
      <query mdx="[TPData].[Client].&amp;[Client 532]">
        <tpls c="1">
          <tpl fld="3" item="100"/>
        </tpls>
      </query>
      <query mdx="[TPData].[Client].&amp;[Client 530]">
        <tpls c="1">
          <tpl fld="3" item="101"/>
        </tpls>
      </query>
      <query mdx="[TPData].[Client].&amp;[Client 529]">
        <tpls c="1">
          <tpl fld="3" item="102"/>
        </tpls>
      </query>
      <query mdx="[TPData].[Client].&amp;[Client 527]">
        <tpls c="1">
          <tpl fld="3" item="103"/>
        </tpls>
      </query>
      <query mdx="[TPData].[Client].&amp;[Client 525]">
        <tpls c="1">
          <tpl fld="3" item="104"/>
        </tpls>
      </query>
      <query mdx="[TPData].[Client].&amp;[Client 523]">
        <tpls c="1">
          <tpl fld="3" item="105"/>
        </tpls>
      </query>
      <query mdx="[TPData].[Client].&amp;[Client 521]">
        <tpls c="1">
          <tpl fld="3" item="106"/>
        </tpls>
      </query>
      <query mdx="[TPData].[Client].&amp;[Client 52]">
        <tpls c="1">
          <tpl fld="3" item="107"/>
        </tpls>
      </query>
      <query mdx="[TPData].[Client].&amp;[Client 518]">
        <tpls c="1">
          <tpl fld="3" item="108"/>
        </tpls>
      </query>
      <query mdx="[TPData].[Client].&amp;[Client 516]">
        <tpls c="1">
          <tpl fld="3" item="109"/>
        </tpls>
      </query>
      <query mdx="[TPData].[Client].&amp;[Client 514]">
        <tpls c="1">
          <tpl fld="3" item="110"/>
        </tpls>
      </query>
      <query mdx="[TPData].[Client].&amp;[Client 512]">
        <tpls c="1">
          <tpl fld="3" item="111"/>
        </tpls>
      </query>
      <query mdx="[TPData].[Client].&amp;[Client 510]">
        <tpls c="1">
          <tpl fld="3" item="112"/>
        </tpls>
      </query>
      <query mdx="[TPData].[Client].&amp;[Client 509]">
        <tpls c="1">
          <tpl fld="3" item="113"/>
        </tpls>
      </query>
      <query mdx="[TPData].[Client].&amp;[Client 507]">
        <tpls c="1">
          <tpl fld="3" item="114"/>
        </tpls>
      </query>
      <query mdx="[TPData].[Client].&amp;[Client 505]">
        <tpls c="1">
          <tpl fld="3" item="115"/>
        </tpls>
      </query>
      <query mdx="[TPData].[Client].&amp;[Client 503]">
        <tpls c="1">
          <tpl fld="3" item="116"/>
        </tpls>
      </query>
      <query mdx="[TPData].[Client].&amp;[Client 501]">
        <tpls c="1">
          <tpl fld="3" item="117"/>
        </tpls>
      </query>
      <query mdx="[TPData].[Client].&amp;[Client 50]">
        <tpls c="1">
          <tpl fld="3" item="118"/>
        </tpls>
      </query>
      <query mdx="[TPData].[Client].&amp;[Client 498]">
        <tpls c="1">
          <tpl fld="3" item="119"/>
        </tpls>
      </query>
      <query mdx="[TPData].[Client].&amp;[Client 496]">
        <tpls c="1">
          <tpl fld="3" item="120"/>
        </tpls>
      </query>
      <query mdx="[TPData].[Client].&amp;[Client 494]">
        <tpls c="1">
          <tpl fld="3" item="121"/>
        </tpls>
      </query>
      <query mdx="[TPData].[Client].&amp;[Client 492]">
        <tpls c="1">
          <tpl fld="3" item="122"/>
        </tpls>
      </query>
      <query mdx="[TPData].[Client].&amp;[Client 490]">
        <tpls c="1">
          <tpl fld="3" item="123"/>
        </tpls>
      </query>
      <query mdx="[TPData].[Client].&amp;[Client 489]">
        <tpls c="1">
          <tpl fld="3" item="124"/>
        </tpls>
      </query>
      <query mdx="[TPData].[Client].&amp;[Client 487]">
        <tpls c="1">
          <tpl fld="3" item="125"/>
        </tpls>
      </query>
      <query mdx="[TPData].[Client].&amp;[Client 485]">
        <tpls c="1">
          <tpl fld="3" item="126"/>
        </tpls>
      </query>
      <query mdx="[TPData].[Client].&amp;[Client 483]">
        <tpls c="1">
          <tpl fld="3" item="127"/>
        </tpls>
      </query>
      <query mdx="[TPData].[Client].&amp;[Client 481]">
        <tpls c="1">
          <tpl fld="3" item="128"/>
        </tpls>
      </query>
      <query mdx="[TPData].[Client].&amp;[Client 47]">
        <tpls c="1">
          <tpl fld="3" item="129"/>
        </tpls>
      </query>
      <query mdx="[TPData].[Client].&amp;[Client 466]">
        <tpls c="1">
          <tpl fld="3" item="130"/>
        </tpls>
      </query>
      <query mdx="[TPData].[Client].&amp;[Client 464]">
        <tpls c="1">
          <tpl fld="3" item="131"/>
        </tpls>
      </query>
      <query mdx="[TPData].[Client].&amp;[Client 462]">
        <tpls c="1">
          <tpl fld="3" item="132"/>
        </tpls>
      </query>
      <query mdx="[TPData].[Client].&amp;[Client 460]">
        <tpls c="1">
          <tpl fld="3" item="133"/>
        </tpls>
      </query>
      <query mdx="[TPData].[Client].&amp;[Client 459]">
        <tpls c="1">
          <tpl fld="3" item="134"/>
        </tpls>
      </query>
      <query mdx="[TPData].[Client].&amp;[Client 457]">
        <tpls c="1">
          <tpl fld="3" item="135"/>
        </tpls>
      </query>
      <query mdx="[TPData].[Client].&amp;[Client 455]">
        <tpls c="1">
          <tpl fld="3" item="136"/>
        </tpls>
      </query>
      <query mdx="[TPData].[Client].&amp;[Client 453]">
        <tpls c="1">
          <tpl fld="3" item="137"/>
        </tpls>
      </query>
      <query mdx="[TPData].[Client].&amp;[Client 451]">
        <tpls c="1">
          <tpl fld="3" item="138"/>
        </tpls>
      </query>
      <query mdx="[TPData].[Client].&amp;[Client 45]">
        <tpls c="1">
          <tpl fld="3" item="139"/>
        </tpls>
      </query>
      <query mdx="[TPData].[Client].&amp;[Client 448]">
        <tpls c="1">
          <tpl fld="3" item="140"/>
        </tpls>
      </query>
      <query mdx="[TPData].[Client].&amp;[Client 446]">
        <tpls c="1">
          <tpl fld="3" item="141"/>
        </tpls>
      </query>
      <query mdx="[TPData].[Client].&amp;[Client 444]">
        <tpls c="1">
          <tpl fld="3" item="142"/>
        </tpls>
      </query>
      <query mdx="[TPData].[Client].&amp;[Client 442]">
        <tpls c="1">
          <tpl fld="3" item="143"/>
        </tpls>
      </query>
      <query mdx="[TPData].[Client].&amp;[Client 440]">
        <tpls c="1">
          <tpl fld="3" item="144"/>
        </tpls>
      </query>
      <query mdx="[TPData].[Client].&amp;[Client 439]">
        <tpls c="1">
          <tpl fld="3" item="145"/>
        </tpls>
      </query>
      <query mdx="[TPData].[Client].&amp;[Client 437]">
        <tpls c="1">
          <tpl fld="3" item="146"/>
        </tpls>
      </query>
      <query mdx="[TPData].[Client].&amp;[Client 435]">
        <tpls c="1">
          <tpl fld="3" item="147"/>
        </tpls>
      </query>
      <query mdx="[TPData].[Client].&amp;[Client 433]">
        <tpls c="1">
          <tpl fld="3" item="148"/>
        </tpls>
      </query>
      <query mdx="[TPData].[Client].&amp;[Client 431]">
        <tpls c="1">
          <tpl fld="3" item="149"/>
        </tpls>
      </query>
      <query mdx="[TPData].[Client].&amp;[Client 429]">
        <tpls c="1">
          <tpl fld="3" item="150"/>
        </tpls>
      </query>
      <query mdx="[TPData].[Client].&amp;[Client 427]">
        <tpls c="1">
          <tpl fld="3" item="151"/>
        </tpls>
      </query>
      <query mdx="[TPData].[Client].&amp;[Client 425]">
        <tpls c="1">
          <tpl fld="3" item="152"/>
        </tpls>
      </query>
      <query mdx="[TPData].[Client].&amp;[Client 423]">
        <tpls c="1">
          <tpl fld="3" item="153"/>
        </tpls>
      </query>
      <query mdx="[TPData].[Client].&amp;[Client 421]">
        <tpls c="1">
          <tpl fld="3" item="154"/>
        </tpls>
      </query>
      <query mdx="[TPData].[Client].&amp;[Client 419]">
        <tpls c="1">
          <tpl fld="3" item="155"/>
        </tpls>
      </query>
      <query mdx="[TPData].[Client].&amp;[Client 416]">
        <tpls c="1">
          <tpl fld="3" item="156"/>
        </tpls>
      </query>
      <query mdx="[TPData].[Client].&amp;[Client 414]">
        <tpls c="1">
          <tpl fld="3" item="157"/>
        </tpls>
      </query>
      <query mdx="[TPData].[Client].&amp;[Client 412]">
        <tpls c="1">
          <tpl fld="3" item="158"/>
        </tpls>
      </query>
      <query mdx="[TPData].[Client].&amp;[Client 410]">
        <tpls c="1">
          <tpl fld="3" item="159"/>
        </tpls>
      </query>
      <query mdx="[TPData].[Client].&amp;[Client 408]">
        <tpls c="1">
          <tpl fld="3" item="160"/>
        </tpls>
      </query>
      <query mdx="[TPData].[Client].&amp;[Client 406]">
        <tpls c="1">
          <tpl fld="3" item="161"/>
        </tpls>
      </query>
      <query mdx="[TPData].[Client].&amp;[Client 404]">
        <tpls c="1">
          <tpl fld="3" item="162"/>
        </tpls>
      </query>
      <query mdx="[TPData].[Client].&amp;[Client 402]">
        <tpls c="1">
          <tpl fld="3" item="163"/>
        </tpls>
      </query>
      <query mdx="[TPData].[Client].&amp;[Client 400]">
        <tpls c="1">
          <tpl fld="3" item="164"/>
        </tpls>
      </query>
      <query mdx="[TPData].[Client].&amp;[Client 398]">
        <tpls c="1">
          <tpl fld="3" item="165"/>
        </tpls>
      </query>
      <query mdx="[TPData].[Client].&amp;[Client 396]">
        <tpls c="1">
          <tpl fld="3" item="166"/>
        </tpls>
      </query>
      <query mdx="[TPData].[Client].&amp;[Client 394]">
        <tpls c="1">
          <tpl fld="3" item="167"/>
        </tpls>
      </query>
      <query mdx="[TPData].[Client].&amp;[Client 392]">
        <tpls c="1">
          <tpl fld="3" item="168"/>
        </tpls>
      </query>
      <query mdx="[TPData].[Client].&amp;[Client 390]">
        <tpls c="1">
          <tpl fld="3" item="169"/>
        </tpls>
      </query>
      <query mdx="[TPData].[Client].&amp;[Client 388]">
        <tpls c="1">
          <tpl fld="3" item="170"/>
        </tpls>
      </query>
      <query mdx="[TPData].[Client].&amp;[Client 386]">
        <tpls c="1">
          <tpl fld="3" item="171"/>
        </tpls>
      </query>
      <query mdx="[TPData].[Client].&amp;[Client 384]">
        <tpls c="1">
          <tpl fld="3" item="172"/>
        </tpls>
      </query>
      <query mdx="[TPData].[Client].&amp;[Client 382]">
        <tpls c="1">
          <tpl fld="3" item="173"/>
        </tpls>
      </query>
      <query mdx="[TPData].[Client].&amp;[Client 338]">
        <tpls c="1">
          <tpl fld="3" item="174"/>
        </tpls>
      </query>
      <query mdx="[TPData].[Client].&amp;[Client 336]">
        <tpls c="1">
          <tpl fld="3" item="175"/>
        </tpls>
      </query>
      <query mdx="[TPData].[Client].&amp;[Client 334]">
        <tpls c="1">
          <tpl fld="3" item="176"/>
        </tpls>
      </query>
      <query mdx="[TPData].[Client].&amp;[Client 332]">
        <tpls c="1">
          <tpl fld="3" item="177"/>
        </tpls>
      </query>
      <query mdx="[TPData].[Client].&amp;[Client 330]">
        <tpls c="1">
          <tpl fld="3" item="178"/>
        </tpls>
      </query>
      <query mdx="[TPData].[Client].&amp;[Client 328]">
        <tpls c="1">
          <tpl fld="3" item="179"/>
        </tpls>
      </query>
      <query mdx="[TPData].[Client].&amp;[Client 326]">
        <tpls c="1">
          <tpl fld="3" item="180"/>
        </tpls>
      </query>
      <query mdx="[TPData].[Client].&amp;[Client 324]">
        <tpls c="1">
          <tpl fld="3" item="181"/>
        </tpls>
      </query>
      <query mdx="[TPData].[Client].&amp;[Client 322]">
        <tpls c="1">
          <tpl fld="3" item="182"/>
        </tpls>
      </query>
      <query mdx="[TPData].[Client].&amp;[Client 320]">
        <tpls c="1">
          <tpl fld="3" item="183"/>
        </tpls>
      </query>
      <query mdx="[TPData].[Client].&amp;[Client 318]">
        <tpls c="1">
          <tpl fld="3" item="184"/>
        </tpls>
      </query>
      <query mdx="[TPData].[Client].&amp;[Client 316]">
        <tpls c="1">
          <tpl fld="3" item="185"/>
        </tpls>
      </query>
      <query mdx="[TPData].[Client].&amp;[Client 314]">
        <tpls c="1">
          <tpl fld="3" item="186"/>
        </tpls>
      </query>
      <query mdx="[TPData].[Client].&amp;[Client 312]">
        <tpls c="1">
          <tpl fld="3" item="187"/>
        </tpls>
      </query>
      <query mdx="[TPData].[Client].&amp;[Client 310]">
        <tpls c="1">
          <tpl fld="3" item="188"/>
        </tpls>
      </query>
      <query mdx="[TPData].[Client].&amp;[Client 308]">
        <tpls c="1">
          <tpl fld="3" item="189"/>
        </tpls>
      </query>
      <query mdx="[TPData].[Client].&amp;[Client 306]">
        <tpls c="1">
          <tpl fld="3" item="190"/>
        </tpls>
      </query>
      <query mdx="[TPData].[Client].&amp;[Client 304]">
        <tpls c="1">
          <tpl fld="3" item="191"/>
        </tpls>
      </query>
      <query mdx="[TPData].[Client].&amp;[Client 302]">
        <tpls c="1">
          <tpl fld="3" item="192"/>
        </tpls>
      </query>
      <query mdx="[TPData].[Client].&amp;[Client 300]">
        <tpls c="1">
          <tpl fld="3" item="193"/>
        </tpls>
      </query>
      <query mdx="[TPData].[Client].&amp;[Client 298]">
        <tpls c="1">
          <tpl fld="3" item="194"/>
        </tpls>
      </query>
      <query mdx="[TPData].[Client].&amp;[Client 296]">
        <tpls c="1">
          <tpl fld="3" item="195"/>
        </tpls>
      </query>
      <query mdx="[TPData].[Client].&amp;[Client 294]">
        <tpls c="1">
          <tpl fld="3" item="196"/>
        </tpls>
      </query>
      <query mdx="[TPData].[Client].&amp;[Client 292]">
        <tpls c="1">
          <tpl fld="3" item="197"/>
        </tpls>
      </query>
      <query mdx="[TPData].[Client].&amp;[Client 290]">
        <tpls c="1">
          <tpl fld="3" item="198"/>
        </tpls>
      </query>
      <query mdx="[TPData].[Client].&amp;[Client 288]">
        <tpls c="1">
          <tpl fld="3" item="199"/>
        </tpls>
      </query>
      <query mdx="[TPData].[Client].&amp;[Client 286]">
        <tpls c="1">
          <tpl fld="3" item="200"/>
        </tpls>
      </query>
      <query mdx="[TPData].[Client].&amp;[Client 284]">
        <tpls c="1">
          <tpl fld="3" item="201"/>
        </tpls>
      </query>
      <query mdx="[TPData].[Client].&amp;[Client 282]">
        <tpls c="1">
          <tpl fld="3" item="202"/>
        </tpls>
      </query>
      <query mdx="[TPData].[Client].&amp;[Client 280]">
        <tpls c="1">
          <tpl fld="3" item="203"/>
        </tpls>
      </query>
      <query mdx="[TPData].[Client].&amp;[Client 278]">
        <tpls c="1">
          <tpl fld="3" item="204"/>
        </tpls>
      </query>
      <query mdx="[TPData].[Client].&amp;[Client 276]">
        <tpls c="1">
          <tpl fld="3" item="205"/>
        </tpls>
      </query>
      <query mdx="[TPData].[Client].&amp;[Client 274]">
        <tpls c="1">
          <tpl fld="3" item="206"/>
        </tpls>
      </query>
      <query mdx="[TPData].[Client].&amp;[Client 272]">
        <tpls c="1">
          <tpl fld="3" item="207"/>
        </tpls>
      </query>
      <query mdx="[TPData].[Client].&amp;[Client 270]">
        <tpls c="1">
          <tpl fld="3" item="208"/>
        </tpls>
      </query>
      <query mdx="[TPData].[Client].&amp;[Client 268]">
        <tpls c="1">
          <tpl fld="3" item="209"/>
        </tpls>
      </query>
      <query mdx="[TPData].[Client].&amp;[Client 266]">
        <tpls c="1">
          <tpl fld="3" item="210"/>
        </tpls>
      </query>
      <query mdx="[TPData].[Client].&amp;[Client 264]">
        <tpls c="1">
          <tpl fld="3" item="211"/>
        </tpls>
      </query>
      <query mdx="[TPData].[Client].&amp;[Client 262]">
        <tpls c="1">
          <tpl fld="3" item="212"/>
        </tpls>
      </query>
      <query mdx="[TPData].[Client].&amp;[Client 260]">
        <tpls c="1">
          <tpl fld="3" item="213"/>
        </tpls>
      </query>
      <query mdx="[TPData].[Client].&amp;[Client 258]">
        <tpls c="1">
          <tpl fld="3" item="214"/>
        </tpls>
      </query>
      <query mdx="[TPData].[Client].&amp;[Client 256]">
        <tpls c="1">
          <tpl fld="3" item="215"/>
        </tpls>
      </query>
      <query mdx="[TPData].[Client].&amp;[Client 254]">
        <tpls c="1">
          <tpl fld="3" item="216"/>
        </tpls>
      </query>
      <query mdx="[TPData].[Client].&amp;[Client 252]">
        <tpls c="1">
          <tpl fld="3" item="217"/>
        </tpls>
      </query>
      <query mdx="[TPData].[Client].&amp;[Client 250]">
        <tpls c="1">
          <tpl fld="3" item="218"/>
        </tpls>
      </query>
      <query mdx="[TPData].[Client].&amp;[Client 248]">
        <tpls c="1">
          <tpl fld="3" item="219"/>
        </tpls>
      </query>
      <query mdx="[TPData].[Client].&amp;[Client 246]">
        <tpls c="1">
          <tpl fld="3" item="220"/>
        </tpls>
      </query>
      <query mdx="[TPData].[Client].&amp;[Client 244]">
        <tpls c="1">
          <tpl fld="3" item="221"/>
        </tpls>
      </query>
      <query mdx="[TPData].[Client].&amp;[Client 242]">
        <tpls c="1">
          <tpl fld="3" item="222"/>
        </tpls>
      </query>
      <query mdx="[TPData].[Client].&amp;[Client 240]">
        <tpls c="1">
          <tpl fld="3" item="223"/>
        </tpls>
      </query>
      <query mdx="[TPData].[Client].&amp;[Client 238]">
        <tpls c="1">
          <tpl fld="3" item="224"/>
        </tpls>
      </query>
      <query mdx="[TPData].[Client].&amp;[Client 236]">
        <tpls c="1">
          <tpl fld="3" item="225"/>
        </tpls>
      </query>
      <query mdx="[TPData].[Client].&amp;[Client 234]">
        <tpls c="1">
          <tpl fld="3" item="226"/>
        </tpls>
      </query>
      <query mdx="[TPData].[Client].&amp;[Client 232]">
        <tpls c="1">
          <tpl fld="3" item="227"/>
        </tpls>
      </query>
      <query mdx="[TPData].[Client].&amp;[Client 230]">
        <tpls c="1">
          <tpl fld="3" item="228"/>
        </tpls>
      </query>
      <query mdx="[TPData].[Client].&amp;[Client 228]">
        <tpls c="1">
          <tpl fld="3" item="229"/>
        </tpls>
      </query>
      <query mdx="[TPData].[Client].&amp;[Client 226]">
        <tpls c="1">
          <tpl fld="3" item="230"/>
        </tpls>
      </query>
      <query mdx="[TPData].[Client].&amp;[Client 224]">
        <tpls c="1">
          <tpl fld="3" item="231"/>
        </tpls>
      </query>
      <query mdx="[TPData].[Client].&amp;[Client 222]">
        <tpls c="1">
          <tpl fld="3" item="232"/>
        </tpls>
      </query>
      <query mdx="[TPData].[Client].&amp;[Client 220]">
        <tpls c="1">
          <tpl fld="3" item="233"/>
        </tpls>
      </query>
      <query mdx="[TPData].[Client].&amp;[Client 218]">
        <tpls c="1">
          <tpl fld="3" item="234"/>
        </tpls>
      </query>
      <query mdx="[TPData].[Client].&amp;[Client 216]">
        <tpls c="1">
          <tpl fld="3" item="235"/>
        </tpls>
      </query>
      <query mdx="[TPData].[Client].&amp;[Client 214]">
        <tpls c="1">
          <tpl fld="3" item="236"/>
        </tpls>
      </query>
      <query mdx="[TPData].[Client].&amp;[Client 212]">
        <tpls c="1">
          <tpl fld="3" item="237"/>
        </tpls>
      </query>
      <query mdx="[TPData].[Client].&amp;[Client 210]">
        <tpls c="1">
          <tpl fld="3" item="238"/>
        </tpls>
      </query>
      <query mdx="[TPData].[Client].&amp;[Client 208]">
        <tpls c="1">
          <tpl fld="3" item="239"/>
        </tpls>
      </query>
      <query mdx="[TPData].[Client].&amp;[Client 206]">
        <tpls c="1">
          <tpl fld="3" item="240"/>
        </tpls>
      </query>
      <query mdx="[TPData].[Client].&amp;[Client 204]">
        <tpls c="1">
          <tpl fld="3" item="241"/>
        </tpls>
      </query>
      <query mdx="[TPData].[Client].&amp;[Client 202]">
        <tpls c="1">
          <tpl fld="3" item="242"/>
        </tpls>
      </query>
      <query mdx="[TPData].[Client].&amp;[Client 200]">
        <tpls c="1">
          <tpl fld="3" item="243"/>
        </tpls>
      </query>
      <query mdx="[TPData].[Client].&amp;[Client 198]">
        <tpls c="1">
          <tpl fld="3" item="244"/>
        </tpls>
      </query>
      <query mdx="[TPData].[Client].&amp;[Client 196]">
        <tpls c="1">
          <tpl fld="3" item="245"/>
        </tpls>
      </query>
      <query mdx="[TPData].[Client].&amp;[Client 194]">
        <tpls c="1">
          <tpl fld="3" item="246"/>
        </tpls>
      </query>
      <query mdx="[TPData].[Client].&amp;[Client 192]">
        <tpls c="1">
          <tpl fld="3" item="247"/>
        </tpls>
      </query>
      <query mdx="[TPData].[Client].&amp;[Client 190]">
        <tpls c="1">
          <tpl fld="3" item="248"/>
        </tpls>
      </query>
      <query mdx="[TPData].[Client].&amp;[Client 181]">
        <tpls c="1">
          <tpl fld="3" item="249"/>
        </tpls>
      </query>
      <query mdx="[TPData].[Client].&amp;[Client 179]">
        <tpls c="1">
          <tpl fld="3" item="250"/>
        </tpls>
      </query>
      <query mdx="[TPData].[Client].&amp;[Client 177]">
        <tpls c="1">
          <tpl fld="3" item="251"/>
        </tpls>
      </query>
      <query mdx="[TPData].[Client].&amp;[Client 175]">
        <tpls c="1">
          <tpl fld="3" item="252"/>
        </tpls>
      </query>
      <query mdx="[TPData].[Client].&amp;[Client 173]">
        <tpls c="1">
          <tpl fld="3" item="253"/>
        </tpls>
      </query>
      <query mdx="[TPData].[Client].&amp;[Client 171]">
        <tpls c="1">
          <tpl fld="3" item="254"/>
        </tpls>
      </query>
      <query mdx="[TPData].[Client].&amp;[Client 169]">
        <tpls c="1">
          <tpl fld="3" item="255"/>
        </tpls>
      </query>
      <query mdx="[TPData].[Client].&amp;[Client 167]">
        <tpls c="1">
          <tpl fld="3" item="256"/>
        </tpls>
      </query>
      <query mdx="[TPData].[Client].&amp;[Client 165]">
        <tpls c="1">
          <tpl fld="3" item="257"/>
        </tpls>
      </query>
      <query mdx="[TPData].[Client].&amp;[Client 163]">
        <tpls c="1">
          <tpl fld="3" item="258"/>
        </tpls>
      </query>
      <query mdx="[TPData].[Client].&amp;[Client 161]">
        <tpls c="1">
          <tpl fld="3" item="259"/>
        </tpls>
      </query>
      <query mdx="[TPData].[Client].&amp;[Client 159]">
        <tpls c="1">
          <tpl fld="3" item="260"/>
        </tpls>
      </query>
      <query mdx="[TPData].[Client].&amp;[Client 993]">
        <tpls c="1">
          <tpl fld="3" item="261"/>
        </tpls>
      </query>
      <query mdx="[TPData].[Client].&amp;[Client 99]">
        <tpls c="1">
          <tpl fld="3" item="262"/>
        </tpls>
      </query>
      <query mdx="[TPData].[Client].&amp;[Client 984]">
        <tpls c="1">
          <tpl fld="3" item="263"/>
        </tpls>
      </query>
      <query mdx="[TPData].[Client].&amp;[Client 972]">
        <tpls c="1">
          <tpl fld="3" item="264"/>
        </tpls>
      </query>
      <query mdx="[TPData].[Client].&amp;[Client 91]">
        <tpls c="1">
          <tpl fld="3" item="265"/>
        </tpls>
      </query>
      <query mdx="[TPData].[Client].&amp;[Client 81]">
        <tpls c="1">
          <tpl fld="3" item="266"/>
        </tpls>
      </query>
      <query mdx="[TPData].[Client].&amp;[Client 73]">
        <tpls c="1">
          <tpl fld="3" item="267"/>
        </tpls>
      </query>
      <query mdx="[TPData].[Client].&amp;[Client 67]">
        <tpls c="1">
          <tpl fld="3" item="268"/>
        </tpls>
      </query>
      <query mdx="[TPData].[Client].&amp;[Client 655]">
        <tpls c="1">
          <tpl fld="3" item="269"/>
        </tpls>
      </query>
      <query mdx="[TPData].[Client].&amp;[Client 646]">
        <tpls c="1">
          <tpl fld="3" item="270"/>
        </tpls>
      </query>
      <query mdx="[TPData].[Client].&amp;[Client 639]">
        <tpls c="1">
          <tpl fld="3" item="271"/>
        </tpls>
      </query>
      <query mdx="[TPData].[Client].&amp;[Client 615]">
        <tpls c="1">
          <tpl fld="3" item="272"/>
        </tpls>
      </query>
      <query mdx="[TPData].[Client].&amp;[Client 608]">
        <tpls c="1">
          <tpl fld="3" item="273"/>
        </tpls>
      </query>
      <query mdx="[TPData].[Client].&amp;[Client 599]">
        <tpls c="1">
          <tpl fld="3" item="274"/>
        </tpls>
      </query>
      <query mdx="[TPData].[Client].&amp;[Client 592]">
        <tpls c="1">
          <tpl fld="3" item="275"/>
        </tpls>
      </query>
      <query mdx="[TPData].[Client].&amp;[Client 590]">
        <tpls c="1">
          <tpl fld="3" item="276"/>
        </tpls>
      </query>
      <query mdx="[TPData].[Client].&amp;[Client 585]">
        <tpls c="1">
          <tpl fld="3" item="277"/>
        </tpls>
      </query>
      <query mdx="[TPData].[Client].&amp;[Client 583]">
        <tpls c="1">
          <tpl fld="3" item="278"/>
        </tpls>
      </query>
      <query mdx="[TPData].[Client].&amp;[Client 578]">
        <tpls c="1">
          <tpl fld="3" item="279"/>
        </tpls>
      </query>
      <query mdx="[TPData].[Client].&amp;[Client 576]">
        <tpls c="1">
          <tpl fld="3" item="280"/>
        </tpls>
      </query>
      <query mdx="[TPData].[Client].&amp;[Client 570]">
        <tpls c="1">
          <tpl fld="3" item="281"/>
        </tpls>
      </query>
      <query mdx="[TPData].[Client].&amp;[Client 569]">
        <tpls c="1">
          <tpl fld="3" item="282"/>
        </tpls>
      </query>
      <query mdx="[TPData].[Client].&amp;[Client 56]">
        <tpls c="1">
          <tpl fld="3" item="283"/>
        </tpls>
      </query>
      <query mdx="[TPData].[Client].&amp;[Client 54]">
        <tpls c="1">
          <tpl fld="3" item="284"/>
        </tpls>
      </query>
      <query mdx="[TPData].[Client].&amp;[Client 528]">
        <tpls c="1">
          <tpl fld="3" item="285"/>
        </tpls>
      </query>
      <query mdx="[TPData].[Client].&amp;[Client 526]">
        <tpls c="1">
          <tpl fld="3" item="286"/>
        </tpls>
      </query>
      <query mdx="[TPData].[Client].&amp;[Client 520]">
        <tpls c="1">
          <tpl fld="3" item="287"/>
        </tpls>
      </query>
      <query mdx="[TPData].[Client].&amp;[Client 519]">
        <tpls c="1">
          <tpl fld="3" item="288"/>
        </tpls>
      </query>
      <query mdx="[TPData].[Client].&amp;[Client 513]">
        <tpls c="1">
          <tpl fld="3" item="289"/>
        </tpls>
      </query>
      <query mdx="[TPData].[Client].&amp;[Client 511]">
        <tpls c="1">
          <tpl fld="3" item="290"/>
        </tpls>
      </query>
      <query mdx="[TPData].[Client].&amp;[Client 506]">
        <tpls c="1">
          <tpl fld="3" item="291"/>
        </tpls>
      </query>
      <query mdx="[TPData].[Client].&amp;[Client 504]">
        <tpls c="1">
          <tpl fld="3" item="292"/>
        </tpls>
      </query>
      <query mdx="[TPData].[Client].&amp;[Client 499]">
        <tpls c="1">
          <tpl fld="3" item="293"/>
        </tpls>
      </query>
      <query mdx="[TPData].[Client].&amp;[Client 497]">
        <tpls c="1">
          <tpl fld="3" item="294"/>
        </tpls>
      </query>
      <query mdx="[TPData].[Client].&amp;[Client 491]">
        <tpls c="1">
          <tpl fld="3" item="295"/>
        </tpls>
      </query>
      <query mdx="[TPData].[Client].&amp;[Client 49]">
        <tpls c="1">
          <tpl fld="3" item="296"/>
        </tpls>
      </query>
      <query mdx="[TPData].[Client].&amp;[Client 484]">
        <tpls c="1">
          <tpl fld="3" item="297"/>
        </tpls>
      </query>
      <query mdx="[TPData].[Client].&amp;[Client 482]">
        <tpls c="1">
          <tpl fld="3" item="298"/>
        </tpls>
      </query>
      <query mdx="[TPData].[Client].&amp;[Client 465]">
        <tpls c="1">
          <tpl fld="3" item="299"/>
        </tpls>
      </query>
      <query mdx="[TPData].[Client].&amp;[Client 463]">
        <tpls c="1">
          <tpl fld="3" item="300"/>
        </tpls>
      </query>
      <query mdx="[TPData].[Client].&amp;[Client 458]">
        <tpls c="1">
          <tpl fld="3" item="301"/>
        </tpls>
      </query>
      <query mdx="[TPData].[Client].&amp;[Client 456]">
        <tpls c="1">
          <tpl fld="3" item="302"/>
        </tpls>
      </query>
      <query mdx="[TPData].[Client].&amp;[Client 450]">
        <tpls c="1">
          <tpl fld="3" item="303"/>
        </tpls>
      </query>
      <query mdx="[TPData].[Client].&amp;[Client 449]">
        <tpls c="1">
          <tpl fld="3" item="304"/>
        </tpls>
      </query>
      <query mdx="[TPData].[Client].&amp;[Client 443]">
        <tpls c="1">
          <tpl fld="3" item="305"/>
        </tpls>
      </query>
      <query mdx="[TPData].[Client].&amp;[Client 441]">
        <tpls c="1">
          <tpl fld="3" item="306"/>
        </tpls>
      </query>
      <query mdx="[TPData].[Client].&amp;[Client 436]">
        <tpls c="1">
          <tpl fld="3" item="307"/>
        </tpls>
      </query>
      <query mdx="[TPData].[Client].&amp;[Client 434]">
        <tpls c="1">
          <tpl fld="3" item="308"/>
        </tpls>
      </query>
      <query mdx="[TPData].[Client].&amp;[Client 428]">
        <tpls c="1">
          <tpl fld="3" item="309"/>
        </tpls>
      </query>
      <query mdx="[TPData].[Client].&amp;[Client 426]">
        <tpls c="1">
          <tpl fld="3" item="310"/>
        </tpls>
      </query>
      <query mdx="[TPData].[Client].&amp;[Client 420]">
        <tpls c="1">
          <tpl fld="3" item="311"/>
        </tpls>
      </query>
      <query mdx="[TPData].[Client].&amp;[Client 418]">
        <tpls c="1">
          <tpl fld="3" item="312"/>
        </tpls>
      </query>
      <query mdx="[TPData].[Client].&amp;[Client 411]">
        <tpls c="1">
          <tpl fld="3" item="313"/>
        </tpls>
      </query>
      <query mdx="[TPData].[Client].&amp;[Client 409]">
        <tpls c="1">
          <tpl fld="3" item="314"/>
        </tpls>
      </query>
      <query mdx="[TPData].[Client].&amp;[Client 403]">
        <tpls c="1">
          <tpl fld="3" item="315"/>
        </tpls>
      </query>
      <query mdx="[TPData].[Client].&amp;[Client 401]">
        <tpls c="1">
          <tpl fld="3" item="316"/>
        </tpls>
      </query>
      <query mdx="[TPData].[Client].&amp;[Client 395]">
        <tpls c="1">
          <tpl fld="3" item="317"/>
        </tpls>
      </query>
      <query mdx="[TPData].[Client].&amp;[Client 393]">
        <tpls c="1">
          <tpl fld="3" item="318"/>
        </tpls>
      </query>
      <query mdx="[TPData].[Client].&amp;[Client 387]">
        <tpls c="1">
          <tpl fld="3" item="319"/>
        </tpls>
      </query>
      <query mdx="[TPData].[Client].&amp;[Client 385]">
        <tpls c="1">
          <tpl fld="3" item="320"/>
        </tpls>
      </query>
      <query mdx="[TPData].[Client].&amp;[Client 337]">
        <tpls c="1">
          <tpl fld="3" item="321"/>
        </tpls>
      </query>
      <query mdx="[TPData].[Client].&amp;[Client 335]">
        <tpls c="1">
          <tpl fld="3" item="322"/>
        </tpls>
      </query>
      <query mdx="[TPData].[Client].&amp;[Client 329]">
        <tpls c="1">
          <tpl fld="3" item="323"/>
        </tpls>
      </query>
      <query mdx="[TPData].[Client].&amp;[Client 327]">
        <tpls c="1">
          <tpl fld="3" item="324"/>
        </tpls>
      </query>
      <query mdx="[TPData].[Client].&amp;[Client 321]">
        <tpls c="1">
          <tpl fld="3" item="325"/>
        </tpls>
      </query>
      <query mdx="[TPData].[Client].&amp;[Client 319]">
        <tpls c="1">
          <tpl fld="3" item="326"/>
        </tpls>
      </query>
      <query mdx="[TPData].[Client].&amp;[Client 313]">
        <tpls c="1">
          <tpl fld="3" item="327"/>
        </tpls>
      </query>
      <query mdx="[TPData].[Client].&amp;[Client 311]">
        <tpls c="1">
          <tpl fld="3" item="328"/>
        </tpls>
      </query>
      <query mdx="[TPData].[Client].&amp;[Client 305]">
        <tpls c="1">
          <tpl fld="3" item="329"/>
        </tpls>
      </query>
      <query mdx="[TPData].[Client].&amp;[Client 303]">
        <tpls c="1">
          <tpl fld="3" item="330"/>
        </tpls>
      </query>
      <query mdx="[TPData].[Client].&amp;[Client 297]">
        <tpls c="1">
          <tpl fld="3" item="331"/>
        </tpls>
      </query>
      <query mdx="[TPData].[Client].&amp;[Client 295]">
        <tpls c="1">
          <tpl fld="3" item="332"/>
        </tpls>
      </query>
      <query mdx="[TPData].[Client].&amp;[Client 289]">
        <tpls c="1">
          <tpl fld="3" item="333"/>
        </tpls>
      </query>
      <query mdx="[TPData].[Client].&amp;[Client 287]">
        <tpls c="1">
          <tpl fld="3" item="334"/>
        </tpls>
      </query>
      <query mdx="[TPData].[Client].&amp;[Client 281]">
        <tpls c="1">
          <tpl fld="3" item="335"/>
        </tpls>
      </query>
      <query mdx="[TPData].[Client].&amp;[Client 279]">
        <tpls c="1">
          <tpl fld="3" item="336"/>
        </tpls>
      </query>
      <query mdx="[TPData].[Client].&amp;[Client 273]">
        <tpls c="1">
          <tpl fld="3" item="337"/>
        </tpls>
      </query>
      <query mdx="[TPData].[Client].&amp;[Client 271]">
        <tpls c="1">
          <tpl fld="3" item="338"/>
        </tpls>
      </query>
      <query mdx="[TPData].[Client].&amp;[Client 265]">
        <tpls c="1">
          <tpl fld="3" item="339"/>
        </tpls>
      </query>
      <query mdx="[TPData].[Client].&amp;[Client 263]">
        <tpls c="1">
          <tpl fld="3" item="340"/>
        </tpls>
      </query>
      <query mdx="[TPData].[Client].&amp;[Client 257]">
        <tpls c="1">
          <tpl fld="3" item="341"/>
        </tpls>
      </query>
      <query mdx="[TPData].[Client].&amp;[Client 255]">
        <tpls c="1">
          <tpl fld="3" item="342"/>
        </tpls>
      </query>
      <query mdx="[TPData].[Client].&amp;[Client 249]">
        <tpls c="1">
          <tpl fld="3" item="343"/>
        </tpls>
      </query>
      <query mdx="[TPData].[Client].&amp;[Client 247]">
        <tpls c="1">
          <tpl fld="3" item="344"/>
        </tpls>
      </query>
      <query mdx="[TPData].[Client].&amp;[Client 241]">
        <tpls c="1">
          <tpl fld="3" item="345"/>
        </tpls>
      </query>
      <query mdx="[TPData].[Client].&amp;[Client 239]">
        <tpls c="1">
          <tpl fld="3" item="346"/>
        </tpls>
      </query>
      <query mdx="[TPData].[Client].&amp;[Client 233]">
        <tpls c="1">
          <tpl fld="3" item="347"/>
        </tpls>
      </query>
      <query mdx="[TPData].[Client].&amp;[Client 231]">
        <tpls c="1">
          <tpl fld="3" item="348"/>
        </tpls>
      </query>
      <query mdx="[TPData].[Client].&amp;[Client 225]">
        <tpls c="1">
          <tpl fld="3" item="349"/>
        </tpls>
      </query>
      <query mdx="[TPData].[Client].&amp;[Client 223]">
        <tpls c="1">
          <tpl fld="3" item="350"/>
        </tpls>
      </query>
      <query mdx="[TPData].[Client].&amp;[Client 217]">
        <tpls c="1">
          <tpl fld="3" item="351"/>
        </tpls>
      </query>
      <query mdx="[TPData].[Client].&amp;[Client 215]">
        <tpls c="1">
          <tpl fld="3" item="352"/>
        </tpls>
      </query>
      <query mdx="[TPData].[Client].&amp;[Client 209]">
        <tpls c="1">
          <tpl fld="3" item="353"/>
        </tpls>
      </query>
      <query mdx="[TPData].[Client].&amp;[Client 207]">
        <tpls c="1">
          <tpl fld="3" item="354"/>
        </tpls>
      </query>
      <query mdx="[TPData].[Client].&amp;[Client 201]">
        <tpls c="1">
          <tpl fld="3" item="355"/>
        </tpls>
      </query>
      <query mdx="[TPData].[Client].&amp;[Client 199]">
        <tpls c="1">
          <tpl fld="3" item="356"/>
        </tpls>
      </query>
      <query mdx="[TPData].[Client].&amp;[Client 193]">
        <tpls c="1">
          <tpl fld="3" item="357"/>
        </tpls>
      </query>
      <query mdx="[TPData].[Client].&amp;[Client 191]">
        <tpls c="1">
          <tpl fld="3" item="358"/>
        </tpls>
      </query>
      <query mdx="[TPData].[Client].&amp;[Client 178]">
        <tpls c="1">
          <tpl fld="3" item="359"/>
        </tpls>
      </query>
      <query mdx="[TPData].[Client].&amp;[Client 176]">
        <tpls c="1">
          <tpl fld="3" item="360"/>
        </tpls>
      </query>
      <query mdx="[TPData].[Client].&amp;[Client 170]">
        <tpls c="1">
          <tpl fld="3" item="361"/>
        </tpls>
      </query>
      <query mdx="[TPData].[Client].&amp;[Client 168]">
        <tpls c="1">
          <tpl fld="3" item="362"/>
        </tpls>
      </query>
      <query mdx="[TPData].[Client].&amp;[Client 162]">
        <tpls c="1">
          <tpl fld="3" item="363"/>
        </tpls>
      </query>
      <query mdx="[TPData].[Client].&amp;[Client 160]">
        <tpls c="1">
          <tpl fld="3" item="364"/>
        </tpls>
      </query>
      <query mdx="[TPData].[Client].&amp;[Client 157]">
        <tpls c="1">
          <tpl fld="3" item="365"/>
        </tpls>
      </query>
      <query mdx="[TPData].[Client].&amp;[Client 155]">
        <tpls c="1">
          <tpl fld="3" item="366"/>
        </tpls>
      </query>
      <query mdx="[TPData].[Client].&amp;[Client 153]">
        <tpls c="1">
          <tpl fld="3" item="367"/>
        </tpls>
      </query>
      <query mdx="[TPData].[Client].&amp;[Client 151]">
        <tpls c="1">
          <tpl fld="3" item="368"/>
        </tpls>
      </query>
      <query mdx="[TPData].[Client].&amp;[Client 149]">
        <tpls c="1">
          <tpl fld="3" item="369"/>
        </tpls>
      </query>
      <query mdx="[TPData].[Client].&amp;[Client 147]">
        <tpls c="1">
          <tpl fld="3" item="370"/>
        </tpls>
      </query>
      <query mdx="[TPData].[Client].&amp;[Client 145]">
        <tpls c="1">
          <tpl fld="3" item="371"/>
        </tpls>
      </query>
      <query mdx="[TPData].[Client].&amp;[Client 143]">
        <tpls c="1">
          <tpl fld="3" item="372"/>
        </tpls>
      </query>
      <query mdx="[TPData].[Client].&amp;[Client 141]">
        <tpls c="1">
          <tpl fld="3" item="373"/>
        </tpls>
      </query>
      <query mdx="[TPData].[Client].&amp;[Client 139]">
        <tpls c="1">
          <tpl fld="3" item="374"/>
        </tpls>
      </query>
      <query mdx="[TPData].[Client].&amp;[Client 137]">
        <tpls c="1">
          <tpl fld="3" item="375"/>
        </tpls>
      </query>
      <query mdx="[TPData].[Client].&amp;[Client 135]">
        <tpls c="1">
          <tpl fld="3" item="376"/>
        </tpls>
      </query>
      <query mdx="[TPData].[Client].&amp;[Client 133]">
        <tpls c="1">
          <tpl fld="3" item="377"/>
        </tpls>
      </query>
      <query mdx="[TPData].[Client].&amp;[Client 131]">
        <tpls c="1">
          <tpl fld="3" item="378"/>
        </tpls>
      </query>
      <query mdx="[TPData].[Client].&amp;[Client 129]">
        <tpls c="1">
          <tpl fld="3" item="379"/>
        </tpls>
      </query>
      <query mdx="[TPData].[Client].&amp;[Client 127]">
        <tpls c="1">
          <tpl fld="3" item="380"/>
        </tpls>
      </query>
      <query mdx="[TPData].[Client].&amp;[Client 125]">
        <tpls c="1">
          <tpl fld="3" item="381"/>
        </tpls>
      </query>
      <query mdx="[TPData].[Client].&amp;[Client 123]">
        <tpls c="1">
          <tpl fld="3" item="382"/>
        </tpls>
      </query>
      <query mdx="[TPData].[Client].&amp;[Client 121]">
        <tpls c="1">
          <tpl fld="3" item="383"/>
        </tpls>
      </query>
      <query mdx="[TPData].[Client].&amp;[Client 119]">
        <tpls c="1">
          <tpl fld="3" item="384"/>
        </tpls>
      </query>
      <query mdx="[TPData].[Client].&amp;[Client 117]">
        <tpls c="1">
          <tpl fld="3" item="385"/>
        </tpls>
      </query>
      <query mdx="[TPData].[Client].&amp;[Client 115]">
        <tpls c="1">
          <tpl fld="3" item="386"/>
        </tpls>
      </query>
      <query mdx="[TPData].[Client].&amp;[Client 113]">
        <tpls c="1">
          <tpl fld="3" item="387"/>
        </tpls>
      </query>
      <query mdx="[TPData].[Client].&amp;[Client 111]">
        <tpls c="1">
          <tpl fld="3" item="388"/>
        </tpls>
      </query>
      <query mdx="[TPData].[Client].&amp;[Client 109]">
        <tpls c="1">
          <tpl fld="3" item="389"/>
        </tpls>
      </query>
      <query mdx="[TPData].[Client].&amp;[Client 107]">
        <tpls c="1">
          <tpl fld="3" item="390"/>
        </tpls>
      </query>
      <query mdx="[TPData].[Client].&amp;[Client 105]">
        <tpls c="1">
          <tpl fld="3" item="391"/>
        </tpls>
      </query>
      <query mdx="[TPData].[Client].&amp;[Client 103]">
        <tpls c="1">
          <tpl fld="3" item="392"/>
        </tpls>
      </query>
      <query mdx="[TPData].[Client].&amp;[Client 101]">
        <tpls c="1">
          <tpl fld="3" item="393"/>
        </tpls>
      </query>
      <query mdx="[TPData].[Client].&amp;[Client 997]">
        <tpls c="1">
          <tpl fld="3" item="394"/>
        </tpls>
      </query>
      <query mdx="[TPData].[Client].&amp;[Client 97]">
        <tpls c="1">
          <tpl fld="3" item="395"/>
        </tpls>
      </query>
      <query mdx="[TPData].[Client].&amp;[Client 83]">
        <tpls c="1">
          <tpl fld="3" item="396"/>
        </tpls>
      </query>
      <query mdx="[TPData].[Client].&amp;[Client 660]">
        <tpls c="1">
          <tpl fld="3" item="397"/>
        </tpls>
      </query>
      <query mdx="[TPData].[Client].&amp;[Client 648]">
        <tpls c="1">
          <tpl fld="3" item="398"/>
        </tpls>
      </query>
      <query mdx="[TPData].[Client].&amp;[Client 613]">
        <tpls c="1">
          <tpl fld="3" item="399"/>
        </tpls>
      </query>
      <query mdx="[TPData].[Client].&amp;[Client 600]">
        <tpls c="1">
          <tpl fld="3" item="400"/>
        </tpls>
      </query>
      <query mdx="[TPData].[Client].&amp;[Client 594]">
        <tpls c="1">
          <tpl fld="3" item="401"/>
        </tpls>
      </query>
      <query mdx="[TPData].[Client].&amp;[Client 587]">
        <tpls c="1">
          <tpl fld="3" item="402"/>
        </tpls>
      </query>
      <query mdx="[TPData].[Client].&amp;[Client 58]">
        <tpls c="1">
          <tpl fld="3" item="403"/>
        </tpls>
      </query>
      <query mdx="[TPData].[Client].&amp;[Client 572]">
        <tpls c="1">
          <tpl fld="3" item="404"/>
        </tpls>
      </query>
      <query mdx="[TPData].[Client].&amp;[Client 565]">
        <tpls c="1">
          <tpl fld="3" item="405"/>
        </tpls>
      </query>
      <query mdx="[TPData].[Client].&amp;[Client 53]">
        <tpls c="1">
          <tpl fld="3" item="406"/>
        </tpls>
      </query>
      <query mdx="[TPData].[Client].&amp;[Client 522]">
        <tpls c="1">
          <tpl fld="3" item="407"/>
        </tpls>
      </query>
      <query mdx="[TPData].[Client].&amp;[Client 515]">
        <tpls c="1">
          <tpl fld="3" item="408"/>
        </tpls>
      </query>
      <query mdx="[TPData].[Client].&amp;[Client 508]">
        <tpls c="1">
          <tpl fld="3" item="409"/>
        </tpls>
      </query>
      <query mdx="[TPData].[Client].&amp;[Client 500]">
        <tpls c="1">
          <tpl fld="3" item="410"/>
        </tpls>
      </query>
      <query mdx="[TPData].[Client].&amp;[Client 493]">
        <tpls c="1">
          <tpl fld="3" item="411"/>
        </tpls>
      </query>
      <query mdx="[TPData].[Client].&amp;[Client 486]">
        <tpls c="1">
          <tpl fld="3" item="412"/>
        </tpls>
      </query>
      <query mdx="[TPData].[Client].&amp;[Client 467]">
        <tpls c="1">
          <tpl fld="3" item="413"/>
        </tpls>
      </query>
      <query mdx="[TPData].[Client].&amp;[Client 46]">
        <tpls c="1">
          <tpl fld="3" item="414"/>
        </tpls>
      </query>
      <query mdx="[TPData].[Client].&amp;[Client 452]">
        <tpls c="1">
          <tpl fld="3" item="415"/>
        </tpls>
      </query>
      <query mdx="[TPData].[Client].&amp;[Client 445]">
        <tpls c="1">
          <tpl fld="3" item="416"/>
        </tpls>
      </query>
      <query mdx="[TPData].[Client].&amp;[Client 438]">
        <tpls c="1">
          <tpl fld="3" item="417"/>
        </tpls>
      </query>
      <query mdx="[TPData].[Client].&amp;[Client 430]">
        <tpls c="1">
          <tpl fld="3" item="418"/>
        </tpls>
      </query>
      <query mdx="[TPData].[Client].&amp;[Client 422]">
        <tpls c="1">
          <tpl fld="3" item="419"/>
        </tpls>
      </query>
      <query mdx="[TPData].[Client].&amp;[Client 413]">
        <tpls c="1">
          <tpl fld="3" item="420"/>
        </tpls>
      </query>
      <query mdx="[TPData].[Client].&amp;[Client 405]">
        <tpls c="1">
          <tpl fld="3" item="421"/>
        </tpls>
      </query>
      <query mdx="[TPData].[Client].&amp;[Client 397]">
        <tpls c="1">
          <tpl fld="3" item="422"/>
        </tpls>
      </query>
      <query mdx="[TPData].[Client].&amp;[Client 389]">
        <tpls c="1">
          <tpl fld="3" item="423"/>
        </tpls>
      </query>
      <query mdx="[TPData].[Client].&amp;[Client 381]">
        <tpls c="1">
          <tpl fld="3" item="424"/>
        </tpls>
      </query>
      <query mdx="[TPData].[Client].&amp;[Client 331]">
        <tpls c="1">
          <tpl fld="3" item="425"/>
        </tpls>
      </query>
      <query mdx="[TPData].[Client].&amp;[Client 323]">
        <tpls c="1">
          <tpl fld="3" item="426"/>
        </tpls>
      </query>
      <query mdx="[TPData].[Client].&amp;[Client 315]">
        <tpls c="1">
          <tpl fld="3" item="427"/>
        </tpls>
      </query>
      <query mdx="[TPData].[Client].&amp;[Client 307]">
        <tpls c="1">
          <tpl fld="3" item="428"/>
        </tpls>
      </query>
      <query mdx="[TPData].[Client].&amp;[Client 299]">
        <tpls c="1">
          <tpl fld="3" item="429"/>
        </tpls>
      </query>
      <query mdx="[TPData].[Client].&amp;[Client 291]">
        <tpls c="1">
          <tpl fld="3" item="430"/>
        </tpls>
      </query>
      <query mdx="[TPData].[Client].&amp;[Client 283]">
        <tpls c="1">
          <tpl fld="3" item="431"/>
        </tpls>
      </query>
      <query mdx="[TPData].[Client].&amp;[Client 275]">
        <tpls c="1">
          <tpl fld="3" item="432"/>
        </tpls>
      </query>
      <query mdx="[TPData].[Client].&amp;[Client 267]">
        <tpls c="1">
          <tpl fld="3" item="433"/>
        </tpls>
      </query>
      <query mdx="[TPData].[Client].&amp;[Client 259]">
        <tpls c="1">
          <tpl fld="3" item="434"/>
        </tpls>
      </query>
      <query mdx="[TPData].[Client].&amp;[Client 251]">
        <tpls c="1">
          <tpl fld="3" item="435"/>
        </tpls>
      </query>
      <query mdx="[TPData].[Client].&amp;[Client 243]">
        <tpls c="1">
          <tpl fld="3" item="436"/>
        </tpls>
      </query>
      <query mdx="[TPData].[Client].&amp;[Client 235]">
        <tpls c="1">
          <tpl fld="3" item="437"/>
        </tpls>
      </query>
      <query mdx="[TPData].[Client].&amp;[Client 227]">
        <tpls c="1">
          <tpl fld="3" item="438"/>
        </tpls>
      </query>
      <query mdx="[TPData].[Client].&amp;[Client 219]">
        <tpls c="1">
          <tpl fld="3" item="439"/>
        </tpls>
      </query>
      <query mdx="[TPData].[Client].&amp;[Client 211]">
        <tpls c="1">
          <tpl fld="3" item="440"/>
        </tpls>
      </query>
      <query mdx="[TPData].[Client].&amp;[Client 203]">
        <tpls c="1">
          <tpl fld="3" item="441"/>
        </tpls>
      </query>
      <query mdx="[TPData].[Client].&amp;[Client 195]">
        <tpls c="1">
          <tpl fld="3" item="442"/>
        </tpls>
      </query>
      <query mdx="[TPData].[Client].&amp;[Client 180]">
        <tpls c="1">
          <tpl fld="3" item="443"/>
        </tpls>
      </query>
      <query mdx="[TPData].[Client].&amp;[Client 172]">
        <tpls c="1">
          <tpl fld="3" item="444"/>
        </tpls>
      </query>
      <query mdx="[TPData].[Client].&amp;[Client 164]">
        <tpls c="1">
          <tpl fld="3" item="445"/>
        </tpls>
      </query>
      <query mdx="[TPData].[Client].&amp;[Client 986]">
        <tpls c="1">
          <tpl fld="3" item="446"/>
        </tpls>
      </query>
      <query mdx="[TPData].[Client].&amp;[Client 89]">
        <tpls c="1">
          <tpl fld="3" item="447"/>
        </tpls>
      </query>
      <query mdx="[TPData].[Client].&amp;[Client 75]">
        <tpls c="1">
          <tpl fld="3" item="448"/>
        </tpls>
      </query>
      <query mdx="[TPData].[Client].&amp;[Client 653]">
        <tpls c="1">
          <tpl fld="3" item="449"/>
        </tpls>
      </query>
      <query mdx="[TPData].[Client].&amp;[Client 640]">
        <tpls c="1">
          <tpl fld="3" item="450"/>
        </tpls>
      </query>
      <query mdx="[TPData].[Client].&amp;[Client 606]">
        <tpls c="1">
          <tpl fld="3" item="451"/>
        </tpls>
      </query>
      <query mdx="[TPData].[Client].&amp;[Client 589]">
        <tpls c="1">
          <tpl fld="3" item="452"/>
        </tpls>
      </query>
      <query mdx="[TPData].[Client].&amp;[Client 581]">
        <tpls c="1">
          <tpl fld="3" item="453"/>
        </tpls>
      </query>
      <query mdx="[TPData].[Client].&amp;[Client 574]">
        <tpls c="1">
          <tpl fld="3" item="454"/>
        </tpls>
      </query>
      <query mdx="[TPData].[Client].&amp;[Client 567]">
        <tpls c="1">
          <tpl fld="3" item="455"/>
        </tpls>
      </query>
      <query mdx="[TPData].[Client].&amp;[Client 524]">
        <tpls c="1">
          <tpl fld="3" item="456"/>
        </tpls>
      </query>
      <query mdx="[TPData].[Client].&amp;[Client 51]">
        <tpls c="1">
          <tpl fld="3" item="457"/>
        </tpls>
      </query>
      <query mdx="[TPData].[Client].&amp;[Client 495]">
        <tpls c="1">
          <tpl fld="3" item="458"/>
        </tpls>
      </query>
      <query mdx="[TPData].[Client].&amp;[Client 48]">
        <tpls c="1">
          <tpl fld="3" item="459"/>
        </tpls>
      </query>
      <query mdx="[TPData].[Client].&amp;[Client 454]">
        <tpls c="1">
          <tpl fld="3" item="460"/>
        </tpls>
      </query>
      <query mdx="[TPData].[Client].&amp;[Client 44]">
        <tpls c="1">
          <tpl fld="3" item="461"/>
        </tpls>
      </query>
      <query mdx="[TPData].[Client].&amp;[Client 424]">
        <tpls c="1">
          <tpl fld="3" item="462"/>
        </tpls>
      </query>
      <query mdx="[TPData].[Client].&amp;[Client 407]">
        <tpls c="1">
          <tpl fld="3" item="463"/>
        </tpls>
      </query>
      <query mdx="[TPData].[Client].&amp;[Client 391]">
        <tpls c="1">
          <tpl fld="3" item="464"/>
        </tpls>
      </query>
      <query mdx="[TPData].[Client].&amp;[Client 333]">
        <tpls c="1">
          <tpl fld="3" item="465"/>
        </tpls>
      </query>
      <query mdx="[TPData].[Client].&amp;[Client 317]">
        <tpls c="1">
          <tpl fld="3" item="466"/>
        </tpls>
      </query>
      <query mdx="[TPData].[Client].&amp;[Client 301]">
        <tpls c="1">
          <tpl fld="3" item="467"/>
        </tpls>
      </query>
      <query mdx="[TPData].[Client].&amp;[Client 285]">
        <tpls c="1">
          <tpl fld="3" item="468"/>
        </tpls>
      </query>
      <query mdx="[TPData].[Client].&amp;[Client 269]">
        <tpls c="1">
          <tpl fld="3" item="469"/>
        </tpls>
      </query>
      <query mdx="[TPData].[Client].&amp;[Client 253]">
        <tpls c="1">
          <tpl fld="3" item="470"/>
        </tpls>
      </query>
      <query mdx="[TPData].[Client].&amp;[Client 237]">
        <tpls c="1">
          <tpl fld="3" item="471"/>
        </tpls>
      </query>
      <query mdx="[TPData].[Client].&amp;[Client 221]">
        <tpls c="1">
          <tpl fld="3" item="472"/>
        </tpls>
      </query>
      <query mdx="[TPData].[Client].&amp;[Client 205]">
        <tpls c="1">
          <tpl fld="3" item="473"/>
        </tpls>
      </query>
      <query mdx="[TPData].[Client].&amp;[Client 182]">
        <tpls c="1">
          <tpl fld="3" item="474"/>
        </tpls>
      </query>
      <query mdx="[TPData].[Client].&amp;[Client 166]">
        <tpls c="1">
          <tpl fld="3" item="475"/>
        </tpls>
      </query>
      <query mdx="[TPData].[Client].&amp;[Client 156]">
        <tpls c="1">
          <tpl fld="3" item="476"/>
        </tpls>
      </query>
      <query mdx="[TPData].[Client].&amp;[Client 152]">
        <tpls c="1">
          <tpl fld="3" item="477"/>
        </tpls>
      </query>
      <query mdx="[TPData].[Client].&amp;[Client 148]">
        <tpls c="1">
          <tpl fld="3" item="478"/>
        </tpls>
      </query>
      <query mdx="[TPData].[Client].&amp;[Client 144]">
        <tpls c="1">
          <tpl fld="3" item="479"/>
        </tpls>
      </query>
      <query mdx="[TPData].[Client].&amp;[Client 140]">
        <tpls c="1">
          <tpl fld="3" item="480"/>
        </tpls>
      </query>
      <query mdx="[TPData].[Client].&amp;[Client 136]">
        <tpls c="1">
          <tpl fld="3" item="481"/>
        </tpls>
      </query>
      <query mdx="[TPData].[Client].&amp;[Client 132]">
        <tpls c="1">
          <tpl fld="3" item="482"/>
        </tpls>
      </query>
      <query mdx="[TPData].[Client].&amp;[Client 128]">
        <tpls c="1">
          <tpl fld="3" item="483"/>
        </tpls>
      </query>
      <query mdx="[TPData].[Client].&amp;[Client 124]">
        <tpls c="1">
          <tpl fld="3" item="484"/>
        </tpls>
      </query>
      <query mdx="[TPData].[Client].&amp;[Client 120]">
        <tpls c="1">
          <tpl fld="3" item="485"/>
        </tpls>
      </query>
      <query mdx="[TPData].[Client].&amp;[Client 116]">
        <tpls c="1">
          <tpl fld="3" item="486"/>
        </tpls>
      </query>
      <query mdx="[TPData].[Client].&amp;[Client 112]">
        <tpls c="1">
          <tpl fld="3" item="487"/>
        </tpls>
      </query>
      <query mdx="[TPData].[Client].&amp;[Client 108]">
        <tpls c="1">
          <tpl fld="3" item="488"/>
        </tpls>
      </query>
      <query mdx="[TPData].[Client].&amp;[Client 104]">
        <tpls c="1">
          <tpl fld="3" item="489"/>
        </tpls>
      </query>
      <query mdx="[TPData].[Client].&amp;[Client 100]">
        <tpls c="1">
          <tpl fld="3" item="490"/>
        </tpls>
      </query>
      <query mdx="[TPData].[Client].&amp;[Client 531]">
        <tpls c="1">
          <tpl fld="3" item="491"/>
        </tpls>
      </query>
      <query mdx="[TPData].[Client].&amp;[Client 517]">
        <tpls c="1">
          <tpl fld="3" item="492"/>
        </tpls>
      </query>
      <query mdx="[TPData].[Client].&amp;[Client 502]">
        <tpls c="1">
          <tpl fld="3" item="493"/>
        </tpls>
      </query>
      <query mdx="[TPData].[Client].&amp;[Client 488]">
        <tpls c="1">
          <tpl fld="3" item="494"/>
        </tpls>
      </query>
      <query mdx="[TPData].[Client].&amp;[Client 461]">
        <tpls c="1">
          <tpl fld="3" item="495"/>
        </tpls>
      </query>
      <query mdx="[TPData].[Client].&amp;[Client 447]">
        <tpls c="1">
          <tpl fld="3" item="496"/>
        </tpls>
      </query>
      <query mdx="[TPData].[Client].&amp;[Client 432]">
        <tpls c="1">
          <tpl fld="3" item="497"/>
        </tpls>
      </query>
      <query mdx="[TPData].[Client].&amp;[Client 415]">
        <tpls c="1">
          <tpl fld="3" item="498"/>
        </tpls>
      </query>
      <query mdx="[TPData].[Client].&amp;[Client 399]">
        <tpls c="1">
          <tpl fld="3" item="499"/>
        </tpls>
      </query>
      <query mdx="[TPData].[Client].&amp;[Client 383]">
        <tpls c="1">
          <tpl fld="3" item="500"/>
        </tpls>
      </query>
      <query mdx="[TPData].[Client].&amp;[Client 325]">
        <tpls c="1">
          <tpl fld="3" item="501"/>
        </tpls>
      </query>
      <query mdx="[TPData].[Client].&amp;[Client 309]">
        <tpls c="1">
          <tpl fld="3" item="502"/>
        </tpls>
      </query>
      <query mdx="[TPData].[Client].&amp;[Client 293]">
        <tpls c="1">
          <tpl fld="3" item="503"/>
        </tpls>
      </query>
      <query mdx="[TPData].[Client].&amp;[Client 277]">
        <tpls c="1">
          <tpl fld="3" item="504"/>
        </tpls>
      </query>
      <query mdx="[TPData].[Client].&amp;[Client 261]">
        <tpls c="1">
          <tpl fld="3" item="505"/>
        </tpls>
      </query>
      <query mdx="[TPData].[Client].&amp;[Client 245]">
        <tpls c="1">
          <tpl fld="3" item="506"/>
        </tpls>
      </query>
      <query mdx="[TPData].[Client].&amp;[Client 229]">
        <tpls c="1">
          <tpl fld="3" item="507"/>
        </tpls>
      </query>
      <query mdx="[TPData].[Client].&amp;[Client 213]">
        <tpls c="1">
          <tpl fld="3" item="508"/>
        </tpls>
      </query>
      <query mdx="[TPData].[Client].&amp;[Client 197]">
        <tpls c="1">
          <tpl fld="3" item="509"/>
        </tpls>
      </query>
      <query mdx="[TPData].[Client].&amp;[Client 174]">
        <tpls c="1">
          <tpl fld="3" item="510"/>
        </tpls>
      </query>
      <query mdx="[TPData].[Client].&amp;[Client 158]">
        <tpls c="1">
          <tpl fld="3" item="511"/>
        </tpls>
      </query>
      <query mdx="[TPData].[Client].&amp;[Client 154]">
        <tpls c="1">
          <tpl fld="3" item="512"/>
        </tpls>
      </query>
      <query mdx="[TPData].[Client].&amp;[Client 150]">
        <tpls c="1">
          <tpl fld="3" item="513"/>
        </tpls>
      </query>
      <query mdx="[TPData].[Client].&amp;[Client 146]">
        <tpls c="1">
          <tpl fld="3" item="514"/>
        </tpls>
      </query>
      <query mdx="[TPData].[Client].&amp;[Client 142]">
        <tpls c="1">
          <tpl fld="3" item="515"/>
        </tpls>
      </query>
      <query mdx="[TPData].[Client].&amp;[Client 138]">
        <tpls c="1">
          <tpl fld="3" item="516"/>
        </tpls>
      </query>
      <query mdx="[TPData].[Client].&amp;[Client 134]">
        <tpls c="1">
          <tpl fld="3" item="517"/>
        </tpls>
      </query>
      <query mdx="[TPData].[Client].&amp;[Client 130]">
        <tpls c="1">
          <tpl fld="3" item="518"/>
        </tpls>
      </query>
      <query mdx="[TPData].[Client].&amp;[Client 126]">
        <tpls c="1">
          <tpl fld="3" item="519"/>
        </tpls>
      </query>
      <query mdx="[TPData].[Client].&amp;[Client 122]">
        <tpls c="1">
          <tpl fld="3" item="520"/>
        </tpls>
      </query>
      <query mdx="[TPData].[Client].&amp;[Client 118]">
        <tpls c="1">
          <tpl fld="3" item="521"/>
        </tpls>
      </query>
      <query mdx="[TPData].[Client].&amp;[Client 114]">
        <tpls c="1">
          <tpl fld="3" item="522"/>
        </tpls>
      </query>
      <query mdx="[TPData].[Client].&amp;[Client 110]">
        <tpls c="1">
          <tpl fld="3" item="523"/>
        </tpls>
      </query>
      <query mdx="[TPData].[Client].&amp;[Client 106]">
        <tpls c="1">
          <tpl fld="3" item="524"/>
        </tpls>
      </query>
      <query mdx="[TPData].[Client].&amp;[Client 102]">
        <tpls c="1">
          <tpl fld="3" item="525"/>
        </tpls>
      </query>
    </queryCache>
  </tupleCache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lexa Hall" refreshedDate="43807.937042824073" createdVersion="5" refreshedVersion="6" minRefreshableVersion="3" recordCount="0" supportSubquery="1" supportAdvancedDrill="1" xr:uid="{919FED30-E6FA-4F11-8BB0-1CAD92DA3B10}">
  <cacheSource type="external" connectionId="1"/>
  <cacheFields count="3">
    <cacheField name="[TPData].[Close Month].[Close Month]" caption="Close Month" numFmtId="0" hierarchy="4" level="1">
      <sharedItems containsSemiMixedTypes="0" containsNonDate="0" containsDate="1" containsString="0" minDate="2018-07-01T00:00:00" maxDate="2019-06-02T00:00:00" count="12"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</sharedItems>
    </cacheField>
    <cacheField name="[Measures].[Count of Client]" caption="Count of Client" numFmtId="0" hierarchy="12" level="32767"/>
    <cacheField name="[TPData].[Sales Rep].[Sales Rep]" caption="Sales Rep" numFmtId="0" hierarchy="5" level="1">
      <sharedItems count="12">
        <s v="Rep 1"/>
        <s v="Rep 12"/>
        <s v="Rep 15"/>
        <s v="Rep 16"/>
        <s v="Rep 18"/>
        <s v="Rep 20"/>
        <s v="Rep 21"/>
        <s v="Rep 27"/>
        <s v="Rep 34"/>
        <s v="Rep 36"/>
        <s v="Rep 39"/>
        <s v="Rep 48"/>
      </sharedItems>
    </cacheField>
  </cacheFields>
  <cacheHierarchies count="14">
    <cacheHierarchy uniqueName="[TPData].[Client]" caption="Client" attribute="1" defaultMemberUniqueName="[TPData].[Client].[All]" allUniqueName="[TPData].[Client].[All]" dimensionUniqueName="[TPData]" displayFolder="" count="2" memberValueDatatype="130" unbalanced="0"/>
    <cacheHierarchy uniqueName="[TPData].[Currency]" caption="Currency" attribute="1" defaultMemberUniqueName="[TPData].[Currency].[All]" allUniqueName="[TPData].[Currency].[All]" dimensionUniqueName="[TPData]" displayFolder="" count="2" memberValueDatatype="130" unbalanced="0"/>
    <cacheHierarchy uniqueName="[TPData].[Annual Contract Value (ACV)]" caption="Annual Contract Value (ACV)" attribute="1" defaultMemberUniqueName="[TPData].[Annual Contract Value (ACV)].[All]" allUniqueName="[TPData].[Annual Contract Value (ACV)].[All]" dimensionUniqueName="[TPData]" displayFolder="" count="2" memberValueDatatype="5" unbalanced="0"/>
    <cacheHierarchy uniqueName="[TPData].[Montly Contract Value]" caption="Montly Contract Value" attribute="1" defaultMemberUniqueName="[TPData].[Montly Contract Value].[All]" allUniqueName="[TPData].[Montly Contract Value].[All]" dimensionUniqueName="[TPData]" displayFolder="" count="0" memberValueDatatype="5" unbalanced="0"/>
    <cacheHierarchy uniqueName="[TPData].[Close Month]" caption="Close Month" attribute="1" time="1" defaultMemberUniqueName="[TPData].[Close Month].[All]" allUniqueName="[TPData].[Close Month].[All]" dimensionUniqueName="[TPData]" displayFolder="" count="2" memberValueDatatype="7" unbalanced="0">
      <fieldsUsage count="2">
        <fieldUsage x="-1"/>
        <fieldUsage x="0"/>
      </fieldsUsage>
    </cacheHierarchy>
    <cacheHierarchy uniqueName="[TPData].[Sales Rep]" caption="Sales Rep" attribute="1" defaultMemberUniqueName="[TPData].[Sales Rep].[All]" allUniqueName="[TPData].[Sales Rep].[All]" dimensionUniqueName="[TPData]" displayFolder="" count="2" memberValueDatatype="130" unbalanced="0">
      <fieldsUsage count="2">
        <fieldUsage x="-1"/>
        <fieldUsage x="2"/>
      </fieldsUsage>
    </cacheHierarchy>
    <cacheHierarchy uniqueName="[TPData].[Deal Size]" caption="Deal Size" attribute="1" defaultMemberUniqueName="[TPData].[Deal Size].[All]" allUniqueName="[TPData].[Deal Size].[All]" dimensionUniqueName="[TPData]" displayFolder="" count="0" memberValueDatatype="130" unbalanced="0"/>
    <cacheHierarchy uniqueName="[Measures].[__XL_Count TPData]" caption="__XL_Count TPData" measure="1" displayFolder="" measureGroup="TPData" count="0" hidden="1"/>
    <cacheHierarchy uniqueName="[Measures].[__No measures defined]" caption="__No measures defined" measure="1" displayFolder="" count="0" hidden="1"/>
    <cacheHierarchy uniqueName="[Measures].[Sum of Montly Contract Value]" caption="Sum of Montly Contract Value" measure="1" displayFolder="" measureGroup="TPData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Sum of Annual Contract Value (ACV)]" caption="Sum of Annual Contract Value (ACV)" measure="1" displayFolder="" measureGroup="TPData" count="0" hidden="1"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Count of Sales Rep]" caption="Count of Sales Rep" measure="1" displayFolder="" measureGroup="TPData" count="0" hidden="1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Count of Client]" caption="Count of Client" measure="1" displayFolder="" measureGroup="TPData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Average of Annual Contract Value (ACV)]" caption="Average of Annual Contract Value (ACV)" measure="1" displayFolder="" measureGroup="TPData" count="0" hidden="1">
      <extLst>
        <ext xmlns:x15="http://schemas.microsoft.com/office/spreadsheetml/2010/11/main" uri="{B97F6D7D-B522-45F9-BDA1-12C45D357490}">
          <x15:cacheHierarchy aggregatedColumn="2"/>
        </ext>
      </extLst>
    </cacheHierarchy>
  </cacheHierarchies>
  <kpis count="0"/>
  <dimensions count="2">
    <dimension measure="1" name="Measures" uniqueName="[Measures]" caption="Measures"/>
    <dimension name="TPData" uniqueName="[TPData]" caption="TPData"/>
  </dimensions>
  <measureGroups count="1">
    <measureGroup name="TPData" caption="TPData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lexa Hall" refreshedDate="43808.250446990744" createdVersion="5" refreshedVersion="6" minRefreshableVersion="3" recordCount="0" supportSubquery="1" supportAdvancedDrill="1" xr:uid="{6E7BD5A4-6B66-4139-A871-AF1FE4B44BC4}">
  <cacheSource type="external" connectionId="1"/>
  <cacheFields count="3">
    <cacheField name="[TPData].[Close Month].[Close Month]" caption="Close Month" numFmtId="0" hierarchy="4" level="1">
      <sharedItems containsSemiMixedTypes="0" containsNonDate="0" containsDate="1" containsString="0" minDate="2018-07-01T00:00:00" maxDate="2019-06-02T00:00:00" count="12"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</sharedItems>
    </cacheField>
    <cacheField name="[TPData].[Sales Rep].[Sales Rep]" caption="Sales Rep" numFmtId="0" hierarchy="5" level="1">
      <sharedItems count="12">
        <s v="Rep 1"/>
        <s v="Rep 12"/>
        <s v="Rep 15"/>
        <s v="Rep 16"/>
        <s v="Rep 18"/>
        <s v="Rep 20"/>
        <s v="Rep 21"/>
        <s v="Rep 27"/>
        <s v="Rep 34"/>
        <s v="Rep 36"/>
        <s v="Rep 39"/>
        <s v="Rep 48"/>
      </sharedItems>
    </cacheField>
    <cacheField name="[Measures].[Count of Client]" caption="Count of Client" numFmtId="0" hierarchy="12" level="32767"/>
  </cacheFields>
  <cacheHierarchies count="14">
    <cacheHierarchy uniqueName="[TPData].[Client]" caption="Client" attribute="1" defaultMemberUniqueName="[TPData].[Client].[All]" allUniqueName="[TPData].[Client].[All]" dimensionUniqueName="[TPData]" displayFolder="" count="2" memberValueDatatype="130" unbalanced="0"/>
    <cacheHierarchy uniqueName="[TPData].[Currency]" caption="Currency" attribute="1" defaultMemberUniqueName="[TPData].[Currency].[All]" allUniqueName="[TPData].[Currency].[All]" dimensionUniqueName="[TPData]" displayFolder="" count="0" memberValueDatatype="130" unbalanced="0"/>
    <cacheHierarchy uniqueName="[TPData].[Annual Contract Value (ACV)]" caption="Annual Contract Value (ACV)" attribute="1" defaultMemberUniqueName="[TPData].[Annual Contract Value (ACV)].[All]" allUniqueName="[TPData].[Annual Contract Value (ACV)].[All]" dimensionUniqueName="[TPData]" displayFolder="" count="0" memberValueDatatype="5" unbalanced="0"/>
    <cacheHierarchy uniqueName="[TPData].[Montly Contract Value]" caption="Montly Contract Value" attribute="1" defaultMemberUniqueName="[TPData].[Montly Contract Value].[All]" allUniqueName="[TPData].[Montly Contract Value].[All]" dimensionUniqueName="[TPData]" displayFolder="" count="0" memberValueDatatype="5" unbalanced="0"/>
    <cacheHierarchy uniqueName="[TPData].[Close Month]" caption="Close Month" attribute="1" time="1" defaultMemberUniqueName="[TPData].[Close Month].[All]" allUniqueName="[TPData].[Close Month].[All]" dimensionUniqueName="[TPData]" displayFolder="" count="2" memberValueDatatype="7" unbalanced="0">
      <fieldsUsage count="2">
        <fieldUsage x="-1"/>
        <fieldUsage x="0"/>
      </fieldsUsage>
    </cacheHierarchy>
    <cacheHierarchy uniqueName="[TPData].[Sales Rep]" caption="Sales Rep" attribute="1" defaultMemberUniqueName="[TPData].[Sales Rep].[All]" allUniqueName="[TPData].[Sales Rep].[All]" dimensionUniqueName="[TPData]" displayFolder="" count="2" memberValueDatatype="130" unbalanced="0">
      <fieldsUsage count="2">
        <fieldUsage x="-1"/>
        <fieldUsage x="1"/>
      </fieldsUsage>
    </cacheHierarchy>
    <cacheHierarchy uniqueName="[TPData].[Deal Size]" caption="Deal Size" attribute="1" defaultMemberUniqueName="[TPData].[Deal Size].[All]" allUniqueName="[TPData].[Deal Size].[All]" dimensionUniqueName="[TPData]" displayFolder="" count="0" memberValueDatatype="130" unbalanced="0"/>
    <cacheHierarchy uniqueName="[Measures].[__XL_Count TPData]" caption="__XL_Count TPData" measure="1" displayFolder="" measureGroup="TPData" count="0" hidden="1"/>
    <cacheHierarchy uniqueName="[Measures].[__No measures defined]" caption="__No measures defined" measure="1" displayFolder="" count="0" hidden="1"/>
    <cacheHierarchy uniqueName="[Measures].[Sum of Montly Contract Value]" caption="Sum of Montly Contract Value" measure="1" displayFolder="" measureGroup="TPData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Sum of Annual Contract Value (ACV)]" caption="Sum of Annual Contract Value (ACV)" measure="1" displayFolder="" measureGroup="TPData" count="0" hidden="1"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Count of Sales Rep]" caption="Count of Sales Rep" measure="1" displayFolder="" measureGroup="TPData" count="0" hidden="1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Count of Client]" caption="Count of Client" measure="1" displayFolder="" measureGroup="TPData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Average of Annual Contract Value (ACV)]" caption="Average of Annual Contract Value (ACV)" measure="1" displayFolder="" measureGroup="TPData" count="0" hidden="1">
      <extLst>
        <ext xmlns:x15="http://schemas.microsoft.com/office/spreadsheetml/2010/11/main" uri="{B97F6D7D-B522-45F9-BDA1-12C45D357490}">
          <x15:cacheHierarchy aggregatedColumn="2"/>
        </ext>
      </extLst>
    </cacheHierarchy>
  </cacheHierarchies>
  <kpis count="0"/>
  <dimensions count="2">
    <dimension measure="1" name="Measures" uniqueName="[Measures]" caption="Measures"/>
    <dimension name="TPData" uniqueName="[TPData]" caption="TPData"/>
  </dimensions>
  <measureGroups count="1">
    <measureGroup name="TPData" caption="TPData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4F87F5B-4A5A-4870-85F6-DEBAB17AF045}" name="PivotTable1" cacheId="2" applyNumberFormats="0" applyBorderFormats="0" applyFontFormats="0" applyPatternFormats="0" applyAlignmentFormats="0" applyWidthHeightFormats="1" dataCaption="Values" tag="816c4901-12e9-4930-af99-b9965619b3ab" updatedVersion="6" minRefreshableVersion="3" useAutoFormatting="1" itemPrintTitles="1" createdVersion="5" indent="0" outline="1" outlineData="1" multipleFieldFilters="0" chartFormat="1">
  <location ref="B4:O18" firstHeaderRow="1" firstDataRow="2" firstDataCol="1"/>
  <pivotFields count="3">
    <pivotField axis="axisCol" allDrilled="1" subtotalTop="0" showAll="0" dataSourceSort="1" defaultAttributeDrillState="1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Row" allDrilled="1" subtotalTop="0" showAll="0" dataSourceSort="1" defaultAttributeDrillState="1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dataField="1" subtotalTop="0" showAll="0"/>
  </pivotFields>
  <rowFields count="1">
    <field x="1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0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Count of Client" fld="2" subtotal="count" baseField="0" baseItem="0"/>
  </dataFields>
  <formats count="1">
    <format dxfId="10">
      <pivotArea outline="0" collapsedLevelsAreSubtotals="1" fieldPosition="0"/>
    </format>
  </formats>
  <pivotHierarchies count="14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 caption="Sum of Annual Contract Value (ACV)"/>
    <pivotHierarchy dragToData="1"/>
    <pivotHierarchy dragToData="1"/>
    <pivotHierarchy dragToData="1" caption="Average of Annual Contract Value (ACV)"/>
  </pivotHierarchies>
  <pivotTableStyleInfo name="PivotStyleLight16" showRowHeaders="1" showColHeaders="1" showRowStripes="0" showColStripes="0" showLastColumn="1"/>
  <rowHierarchiesUsage count="1">
    <rowHierarchyUsage hierarchyUsage="5"/>
  </rowHierarchiesUsage>
  <colHierarchiesUsage count="1">
    <colHierarchyUsage hierarchyUsage="4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TPData]"/>
      </x15:pivotTableUISettings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2D8DAF6-781B-4533-B690-E25682AFE047}" name="PivotTable1" cacheId="1" applyNumberFormats="0" applyBorderFormats="0" applyFontFormats="0" applyPatternFormats="0" applyAlignmentFormats="0" applyWidthHeightFormats="1" dataCaption="Values" tag="f9e64805-00b8-4e88-8254-3a93621d62a0" updatedVersion="6" minRefreshableVersion="3" useAutoFormatting="1" itemPrintTitles="1" createdVersion="5" indent="0" outline="1" outlineData="1" multipleFieldFilters="0" chartFormat="1">
  <location ref="B4:O18" firstHeaderRow="1" firstDataRow="2" firstDataCol="1"/>
  <pivotFields count="3">
    <pivotField axis="axisCol" allDrilled="1" subtotalTop="0" showAll="0" dataSourceSort="1" defaultAttributeDrillState="1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dataField="1" subtotalTop="0" showAll="0"/>
    <pivotField axis="axisRow" allDrilled="1" subtotalTop="0" showAll="0" dataSourceSort="1" defaultAttributeDrillState="1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</pivotFields>
  <rowFields count="1">
    <field x="2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0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Count of Client" fld="1" subtotal="count" baseField="0" baseItem="0"/>
  </dataFields>
  <formats count="1">
    <format dxfId="9">
      <pivotArea outline="0" collapsedLevelsAreSubtotals="1" fieldPosition="0"/>
    </format>
  </formats>
  <pivotHierarchies count="14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5"/>
  </rowHierarchiesUsage>
  <colHierarchiesUsage count="1">
    <colHierarchyUsage hierarchyUsage="4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TPData]"/>
      </x15:pivotTableUISettings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F15BB0C-7609-4DCE-A10B-70334BEDC6AF}" name="TPData" displayName="TPData" ref="A1:H527" totalsRowShown="0" headerRowDxfId="8">
  <autoFilter ref="A1:H527" xr:uid="{304B36BD-294F-438C-B0CA-8A22DEA4D2F8}"/>
  <tableColumns count="8">
    <tableColumn id="1" xr3:uid="{532E58E4-E0EF-4C4C-97B3-CC63576C61A2}" name="Client" dataDxfId="7"/>
    <tableColumn id="2" xr3:uid="{E61B75C2-ECC8-46BF-9DA2-2B73BDDC8C76}" name="Currency" dataDxfId="6"/>
    <tableColumn id="3" xr3:uid="{0445CB7F-8546-44E2-8CC1-7FC0F82D2FD7}" name="Annual Contract Value (ACV)" dataDxfId="5"/>
    <tableColumn id="6" xr3:uid="{4EE60634-5EA4-4310-8EC8-D39F4AB1023B}" name="Montly Contract Value" dataDxfId="4">
      <calculatedColumnFormula>TPData[[#This Row],[Annual Contract Value (ACV)]]/12</calculatedColumnFormula>
    </tableColumn>
    <tableColumn id="4" xr3:uid="{994A8098-20FD-42EE-92E7-7D785AACC943}" name="Close Month" dataDxfId="3"/>
    <tableColumn id="10" xr3:uid="{4CFD59D2-CB65-4015-A49E-D38FB86C715B}" name="Subscription Month End" dataDxfId="2">
      <calculatedColumnFormula>EDATE(TPData[[#This Row],[Close Month]],11)</calculatedColumnFormula>
    </tableColumn>
    <tableColumn id="5" xr3:uid="{ACFA2E48-57D4-4FBC-9582-B3AA7BA7AE54}" name="Sales Rep" dataDxfId="1"/>
    <tableColumn id="9" xr3:uid="{7066DE88-5149-4EF7-A9DF-84FDABB2DACD}" name="Deal Size" dataDxfId="0">
      <calculatedColumnFormula>IF(C2&lt;=5000,$J$5,IF((C2&lt;10000),$J$6,IF((C2&lt;20000),$J$7,IF((C2&gt;=20000),$J$8))))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A087E-86C1-4073-A9EB-9BFF0DC91518}">
  <sheetPr codeName="Sheet1">
    <tabColor theme="4"/>
    <pageSetUpPr fitToPage="1"/>
  </sheetPr>
  <dimension ref="B1:Q49"/>
  <sheetViews>
    <sheetView showGridLines="0" topLeftCell="A16" zoomScaleNormal="100" workbookViewId="0">
      <selection activeCell="M46" sqref="M46"/>
    </sheetView>
  </sheetViews>
  <sheetFormatPr baseColWidth="10" defaultColWidth="8.83203125" defaultRowHeight="15" x14ac:dyDescent="0.2"/>
  <cols>
    <col min="1" max="1" width="1.83203125" style="23" customWidth="1"/>
    <col min="2" max="2" width="30" style="23" customWidth="1"/>
    <col min="3" max="3" width="13.5" style="23" bestFit="1" customWidth="1"/>
    <col min="4" max="4" width="5.5" style="23" customWidth="1"/>
    <col min="5" max="13" width="8.83203125" style="23"/>
    <col min="14" max="16" width="8.83203125" style="67"/>
    <col min="17" max="16384" width="8.83203125" style="23"/>
  </cols>
  <sheetData>
    <row r="1" spans="2:17" ht="19" x14ac:dyDescent="0.25">
      <c r="B1" s="170" t="s">
        <v>649</v>
      </c>
    </row>
    <row r="2" spans="2:17" s="67" customFormat="1" ht="16" thickBot="1" x14ac:dyDescent="0.25">
      <c r="B2" s="8"/>
    </row>
    <row r="3" spans="2:17" s="67" customFormat="1" x14ac:dyDescent="0.2">
      <c r="B3" s="173"/>
      <c r="C3" s="174"/>
      <c r="E3" s="206" t="s">
        <v>708</v>
      </c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8"/>
    </row>
    <row r="4" spans="2:17" x14ac:dyDescent="0.2">
      <c r="B4" s="175" t="s">
        <v>648</v>
      </c>
      <c r="C4" s="176" t="s">
        <v>650</v>
      </c>
      <c r="E4" s="209" t="s">
        <v>710</v>
      </c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210"/>
    </row>
    <row r="5" spans="2:17" s="67" customFormat="1" ht="16" thickBot="1" x14ac:dyDescent="0.25">
      <c r="B5" s="177" t="s">
        <v>559</v>
      </c>
      <c r="C5" s="178"/>
      <c r="E5" s="211" t="s">
        <v>709</v>
      </c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12"/>
    </row>
    <row r="6" spans="2:17" s="67" customFormat="1" x14ac:dyDescent="0.2">
      <c r="B6" s="177" t="s">
        <v>0</v>
      </c>
      <c r="C6" s="179">
        <f>Model!AO65</f>
        <v>3070385.4037042949</v>
      </c>
    </row>
    <row r="7" spans="2:17" s="67" customFormat="1" x14ac:dyDescent="0.2">
      <c r="B7" s="180" t="s">
        <v>642</v>
      </c>
      <c r="C7" s="181">
        <f>Model!AO82</f>
        <v>1240478.1735380832</v>
      </c>
    </row>
    <row r="8" spans="2:17" s="67" customFormat="1" ht="7.25" customHeight="1" x14ac:dyDescent="0.2">
      <c r="B8" s="180"/>
      <c r="C8" s="181"/>
    </row>
    <row r="9" spans="2:17" s="67" customFormat="1" x14ac:dyDescent="0.2">
      <c r="B9" s="177" t="s">
        <v>643</v>
      </c>
      <c r="C9" s="181"/>
      <c r="E9" s="116"/>
      <c r="F9" s="116"/>
      <c r="G9" s="205"/>
    </row>
    <row r="10" spans="2:17" s="67" customFormat="1" x14ac:dyDescent="0.2">
      <c r="B10" s="180" t="s">
        <v>583</v>
      </c>
      <c r="C10" s="181">
        <f>Model!AO88</f>
        <v>1140371.8737037629</v>
      </c>
      <c r="E10" s="116"/>
      <c r="F10" s="116"/>
      <c r="G10" s="142"/>
    </row>
    <row r="11" spans="2:17" s="67" customFormat="1" x14ac:dyDescent="0.2">
      <c r="B11" s="180" t="s">
        <v>584</v>
      </c>
      <c r="C11" s="181">
        <f>Model!AO92</f>
        <v>165000</v>
      </c>
      <c r="E11" s="116"/>
      <c r="F11" s="116"/>
      <c r="G11" s="142"/>
    </row>
    <row r="12" spans="2:17" s="67" customFormat="1" x14ac:dyDescent="0.2">
      <c r="B12" s="180" t="s">
        <v>587</v>
      </c>
      <c r="C12" s="181">
        <f>Model!AO96</f>
        <v>50000</v>
      </c>
      <c r="E12" s="116"/>
      <c r="F12" s="116"/>
      <c r="G12" s="142"/>
    </row>
    <row r="13" spans="2:17" s="67" customFormat="1" x14ac:dyDescent="0.2">
      <c r="B13" s="182" t="s">
        <v>571</v>
      </c>
      <c r="C13" s="183">
        <f>Model!AO98</f>
        <v>172000</v>
      </c>
      <c r="E13" s="116"/>
      <c r="F13" s="116"/>
      <c r="G13" s="116"/>
    </row>
    <row r="14" spans="2:17" s="67" customFormat="1" x14ac:dyDescent="0.2">
      <c r="B14" s="177" t="s">
        <v>644</v>
      </c>
      <c r="C14" s="184">
        <f>SUM(C10:C13)</f>
        <v>1527371.8737037629</v>
      </c>
    </row>
    <row r="15" spans="2:17" s="67" customFormat="1" x14ac:dyDescent="0.2">
      <c r="B15" s="177"/>
      <c r="C15" s="184"/>
    </row>
    <row r="16" spans="2:17" s="67" customFormat="1" x14ac:dyDescent="0.2">
      <c r="B16" s="198" t="s">
        <v>696</v>
      </c>
      <c r="C16" s="199">
        <f>Model!AO101</f>
        <v>0.49745281874420422</v>
      </c>
    </row>
    <row r="17" spans="2:16" s="67" customFormat="1" ht="9.25" customHeight="1" x14ac:dyDescent="0.2">
      <c r="B17" s="180"/>
      <c r="C17" s="185"/>
    </row>
    <row r="18" spans="2:16" s="67" customFormat="1" x14ac:dyDescent="0.2">
      <c r="B18" s="186" t="s">
        <v>645</v>
      </c>
      <c r="C18" s="187">
        <f>AVERAGE(Model!AC21:AN21)</f>
        <v>41.078530092592594</v>
      </c>
    </row>
    <row r="19" spans="2:16" s="67" customFormat="1" x14ac:dyDescent="0.2">
      <c r="B19" s="186" t="s">
        <v>646</v>
      </c>
      <c r="C19" s="188">
        <f>AVERAGE(Model!AC52:AN52)</f>
        <v>12</v>
      </c>
    </row>
    <row r="20" spans="2:16" s="67" customFormat="1" ht="6" customHeight="1" x14ac:dyDescent="0.2">
      <c r="B20" s="186"/>
      <c r="C20" s="188"/>
    </row>
    <row r="21" spans="2:16" s="67" customFormat="1" ht="16" thickBot="1" x14ac:dyDescent="0.25">
      <c r="B21" s="189" t="s">
        <v>647</v>
      </c>
      <c r="C21" s="204">
        <f>C6/C19</f>
        <v>255865.45030869124</v>
      </c>
      <c r="D21" s="203"/>
    </row>
    <row r="24" spans="2:16" x14ac:dyDescent="0.2">
      <c r="B24" s="52" t="s">
        <v>554</v>
      </c>
      <c r="C24" s="11"/>
      <c r="D24" s="11"/>
      <c r="E24" s="11"/>
      <c r="F24" s="11"/>
      <c r="G24" s="11"/>
      <c r="H24" s="11"/>
      <c r="I24" s="11"/>
      <c r="J24" s="11"/>
    </row>
    <row r="25" spans="2:16" s="67" customFormat="1" x14ac:dyDescent="0.2">
      <c r="B25" s="71" t="s">
        <v>559</v>
      </c>
      <c r="C25" s="57"/>
      <c r="D25" s="57"/>
    </row>
    <row r="26" spans="2:16" x14ac:dyDescent="0.2">
      <c r="B26" s="23" t="s">
        <v>658</v>
      </c>
    </row>
    <row r="27" spans="2:16" s="49" customFormat="1" x14ac:dyDescent="0.2">
      <c r="B27" s="49" t="s">
        <v>656</v>
      </c>
      <c r="N27" s="67"/>
      <c r="O27" s="67"/>
      <c r="P27" s="67"/>
    </row>
    <row r="28" spans="2:16" s="49" customFormat="1" x14ac:dyDescent="0.2">
      <c r="B28" s="49" t="s">
        <v>657</v>
      </c>
      <c r="N28" s="67"/>
      <c r="O28" s="67"/>
      <c r="P28" s="67"/>
    </row>
    <row r="29" spans="2:16" s="67" customFormat="1" ht="7.25" customHeight="1" x14ac:dyDescent="0.2"/>
    <row r="30" spans="2:16" x14ac:dyDescent="0.2">
      <c r="B30" s="10" t="s">
        <v>558</v>
      </c>
    </row>
    <row r="31" spans="2:16" x14ac:dyDescent="0.2">
      <c r="B31" s="17" t="s">
        <v>660</v>
      </c>
    </row>
    <row r="32" spans="2:16" x14ac:dyDescent="0.2">
      <c r="B32" s="17" t="s">
        <v>661</v>
      </c>
    </row>
    <row r="33" spans="2:10" x14ac:dyDescent="0.2">
      <c r="B33" s="17" t="s">
        <v>663</v>
      </c>
    </row>
    <row r="34" spans="2:10" x14ac:dyDescent="0.2">
      <c r="B34" s="17" t="s">
        <v>662</v>
      </c>
    </row>
    <row r="35" spans="2:10" x14ac:dyDescent="0.2">
      <c r="B35" s="17" t="s">
        <v>665</v>
      </c>
    </row>
    <row r="36" spans="2:10" x14ac:dyDescent="0.2">
      <c r="B36" s="17" t="s">
        <v>666</v>
      </c>
    </row>
    <row r="37" spans="2:10" x14ac:dyDescent="0.2">
      <c r="B37" s="17" t="s">
        <v>667</v>
      </c>
    </row>
    <row r="38" spans="2:10" x14ac:dyDescent="0.2">
      <c r="B38" s="17" t="s">
        <v>668</v>
      </c>
    </row>
    <row r="39" spans="2:10" x14ac:dyDescent="0.2">
      <c r="B39" s="17" t="s">
        <v>669</v>
      </c>
    </row>
    <row r="41" spans="2:10" x14ac:dyDescent="0.2">
      <c r="B41" s="52" t="s">
        <v>553</v>
      </c>
      <c r="C41" s="11"/>
      <c r="D41" s="11"/>
      <c r="E41" s="11"/>
      <c r="F41" s="11"/>
      <c r="G41" s="11"/>
      <c r="H41" s="11"/>
      <c r="I41" s="11"/>
      <c r="J41" s="11"/>
    </row>
    <row r="42" spans="2:10" x14ac:dyDescent="0.2">
      <c r="B42" s="49" t="s">
        <v>651</v>
      </c>
    </row>
    <row r="43" spans="2:10" x14ac:dyDescent="0.2">
      <c r="B43" s="23" t="s">
        <v>652</v>
      </c>
    </row>
    <row r="44" spans="2:10" s="67" customFormat="1" x14ac:dyDescent="0.2">
      <c r="B44" s="67" t="s">
        <v>653</v>
      </c>
    </row>
    <row r="45" spans="2:10" x14ac:dyDescent="0.2">
      <c r="B45" s="23" t="s">
        <v>654</v>
      </c>
    </row>
    <row r="46" spans="2:10" s="67" customFormat="1" x14ac:dyDescent="0.2">
      <c r="B46" s="67" t="s">
        <v>659</v>
      </c>
    </row>
    <row r="47" spans="2:10" s="67" customFormat="1" x14ac:dyDescent="0.2">
      <c r="B47" s="67" t="s">
        <v>664</v>
      </c>
    </row>
    <row r="48" spans="2:10" s="67" customFormat="1" x14ac:dyDescent="0.2">
      <c r="B48" s="67" t="s">
        <v>688</v>
      </c>
    </row>
    <row r="49" spans="2:2" x14ac:dyDescent="0.2">
      <c r="B49" s="23" t="s">
        <v>724</v>
      </c>
    </row>
  </sheetData>
  <pageMargins left="0.6" right="0.6" top="1" bottom="1" header="0.5" footer="0.5"/>
  <pageSetup orientation="landscape" r:id="rId1"/>
  <headerFooter>
    <oddHeader>&amp;RDraft - Work in Progress</oddHeader>
    <oddFooter>&amp;L&amp;F
&amp;D, &amp;T&amp;C
Page &amp;P of &amp;N&amp;R&amp;A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EB3EC-3C93-47BF-BECD-8B8E2D4BEFF5}">
  <sheetPr codeName="Sheet2">
    <pageSetUpPr fitToPage="1"/>
  </sheetPr>
  <dimension ref="A1:AG141"/>
  <sheetViews>
    <sheetView showGridLines="0" topLeftCell="B1" zoomScaleNormal="100" workbookViewId="0">
      <selection activeCell="G31" sqref="G31"/>
    </sheetView>
  </sheetViews>
  <sheetFormatPr baseColWidth="10" defaultColWidth="8.83203125" defaultRowHeight="15" x14ac:dyDescent="0.2"/>
  <cols>
    <col min="1" max="1" width="1.83203125" style="49" customWidth="1"/>
    <col min="2" max="2" width="81.1640625" style="36" bestFit="1" customWidth="1"/>
    <col min="3" max="8" width="11.1640625" style="36" bestFit="1" customWidth="1"/>
    <col min="9" max="14" width="12.5" style="36" bestFit="1" customWidth="1"/>
    <col min="15" max="15" width="9.5" style="49" bestFit="1" customWidth="1"/>
    <col min="16" max="19" width="8.83203125" style="49"/>
    <col min="20" max="20" width="9.5" style="49" bestFit="1" customWidth="1"/>
    <col min="21" max="16384" width="8.83203125" style="49"/>
  </cols>
  <sheetData>
    <row r="1" spans="2:16" x14ac:dyDescent="0.2">
      <c r="B1" s="64" t="s">
        <v>694</v>
      </c>
    </row>
    <row r="3" spans="2:16" x14ac:dyDescent="0.2">
      <c r="B3" s="64"/>
    </row>
    <row r="4" spans="2:16" x14ac:dyDescent="0.2">
      <c r="C4" s="65"/>
    </row>
    <row r="5" spans="2:16" x14ac:dyDescent="0.2">
      <c r="C5" s="65"/>
    </row>
    <row r="6" spans="2:16" x14ac:dyDescent="0.2">
      <c r="C6" s="65"/>
      <c r="O6" s="67"/>
      <c r="P6" s="67"/>
    </row>
    <row r="7" spans="2:16" x14ac:dyDescent="0.2">
      <c r="C7" s="65"/>
      <c r="O7" s="67"/>
      <c r="P7" s="67"/>
    </row>
    <row r="8" spans="2:16" x14ac:dyDescent="0.2">
      <c r="C8" s="65"/>
      <c r="O8" s="67"/>
      <c r="P8" s="67"/>
    </row>
    <row r="9" spans="2:16" x14ac:dyDescent="0.2">
      <c r="C9" s="65"/>
      <c r="O9" s="67"/>
      <c r="P9" s="67"/>
    </row>
    <row r="10" spans="2:16" x14ac:dyDescent="0.2">
      <c r="C10" s="65"/>
      <c r="O10" s="67"/>
      <c r="P10" s="67"/>
    </row>
    <row r="11" spans="2:16" x14ac:dyDescent="0.2">
      <c r="C11" s="65"/>
      <c r="O11" s="67"/>
      <c r="P11" s="67"/>
    </row>
    <row r="12" spans="2:16" x14ac:dyDescent="0.2">
      <c r="C12" s="65"/>
      <c r="O12" s="67"/>
      <c r="P12" s="67"/>
    </row>
    <row r="13" spans="2:16" x14ac:dyDescent="0.2">
      <c r="C13" s="65"/>
      <c r="O13" s="67"/>
      <c r="P13" s="67"/>
    </row>
    <row r="14" spans="2:16" x14ac:dyDescent="0.2">
      <c r="C14" s="65"/>
      <c r="O14" s="67"/>
      <c r="P14" s="67"/>
    </row>
    <row r="15" spans="2:16" x14ac:dyDescent="0.2">
      <c r="C15" s="65"/>
      <c r="O15" s="67"/>
      <c r="P15" s="67"/>
    </row>
    <row r="16" spans="2:16" x14ac:dyDescent="0.2">
      <c r="C16" s="65"/>
      <c r="O16" s="67"/>
      <c r="P16" s="67"/>
    </row>
    <row r="17" spans="2:16" x14ac:dyDescent="0.2">
      <c r="C17" s="65"/>
      <c r="O17" s="67"/>
      <c r="P17" s="67"/>
    </row>
    <row r="18" spans="2:16" x14ac:dyDescent="0.2">
      <c r="C18" s="65"/>
      <c r="O18" s="67"/>
      <c r="P18" s="67"/>
    </row>
    <row r="19" spans="2:16" x14ac:dyDescent="0.2">
      <c r="C19" s="65"/>
      <c r="O19" s="67"/>
      <c r="P19" s="67"/>
    </row>
    <row r="20" spans="2:16" s="67" customFormat="1" x14ac:dyDescent="0.2">
      <c r="B20" s="36"/>
      <c r="C20" s="65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</row>
    <row r="21" spans="2:16" s="67" customFormat="1" x14ac:dyDescent="0.2">
      <c r="B21" s="36"/>
      <c r="C21" s="65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</row>
    <row r="22" spans="2:16" s="67" customFormat="1" x14ac:dyDescent="0.2">
      <c r="B22" s="36"/>
      <c r="C22" s="65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</row>
    <row r="23" spans="2:16" s="67" customFormat="1" x14ac:dyDescent="0.2">
      <c r="B23" s="36"/>
      <c r="C23" s="65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</row>
    <row r="24" spans="2:16" s="67" customFormat="1" x14ac:dyDescent="0.2">
      <c r="B24" s="36"/>
      <c r="C24" s="65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</row>
    <row r="25" spans="2:16" s="67" customFormat="1" x14ac:dyDescent="0.2">
      <c r="B25" s="36"/>
      <c r="C25" s="6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</row>
    <row r="26" spans="2:16" s="67" customFormat="1" x14ac:dyDescent="0.2">
      <c r="B26" s="36" t="s">
        <v>691</v>
      </c>
      <c r="C26" s="65"/>
      <c r="D26" s="36"/>
      <c r="E26" s="36"/>
      <c r="F26" s="36"/>
      <c r="G26" s="36"/>
      <c r="H26" s="36" t="s">
        <v>699</v>
      </c>
      <c r="I26" s="36"/>
      <c r="J26" s="36"/>
      <c r="K26" s="36"/>
      <c r="L26" s="36"/>
      <c r="M26" s="36"/>
      <c r="N26" s="36"/>
    </row>
    <row r="27" spans="2:16" s="67" customFormat="1" x14ac:dyDescent="0.2">
      <c r="B27" s="36" t="s">
        <v>706</v>
      </c>
      <c r="C27" s="65"/>
      <c r="D27" s="36"/>
      <c r="E27" s="36"/>
      <c r="F27" s="36"/>
      <c r="G27" s="36"/>
      <c r="H27" s="36" t="s">
        <v>705</v>
      </c>
      <c r="I27" s="36"/>
      <c r="J27" s="36"/>
      <c r="K27" s="36"/>
      <c r="L27" s="36"/>
      <c r="M27" s="36"/>
      <c r="N27" s="36"/>
    </row>
    <row r="28" spans="2:16" s="67" customFormat="1" x14ac:dyDescent="0.2">
      <c r="B28" s="36"/>
      <c r="C28" s="65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</row>
    <row r="29" spans="2:16" s="67" customFormat="1" x14ac:dyDescent="0.2">
      <c r="B29" s="36"/>
      <c r="C29" s="65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</row>
    <row r="30" spans="2:16" s="67" customFormat="1" x14ac:dyDescent="0.2">
      <c r="B30" s="36"/>
      <c r="C30" s="65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1" spans="2:16" s="67" customFormat="1" x14ac:dyDescent="0.2">
      <c r="B31" s="36"/>
      <c r="C31" s="65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</row>
    <row r="32" spans="2:16" s="67" customFormat="1" x14ac:dyDescent="0.2">
      <c r="B32" s="36"/>
      <c r="C32" s="65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</row>
    <row r="33" spans="2:14" s="67" customFormat="1" x14ac:dyDescent="0.2">
      <c r="B33" s="36"/>
      <c r="C33" s="65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</row>
    <row r="34" spans="2:14" s="67" customFormat="1" x14ac:dyDescent="0.2">
      <c r="B34" s="36"/>
      <c r="C34" s="65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</row>
    <row r="35" spans="2:14" s="67" customFormat="1" x14ac:dyDescent="0.2">
      <c r="B35" s="36"/>
      <c r="C35" s="65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</row>
    <row r="36" spans="2:14" s="67" customFormat="1" x14ac:dyDescent="0.2">
      <c r="B36" s="36"/>
      <c r="C36" s="65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</row>
    <row r="37" spans="2:14" s="67" customFormat="1" x14ac:dyDescent="0.2">
      <c r="B37" s="36"/>
      <c r="C37" s="65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</row>
    <row r="38" spans="2:14" s="67" customFormat="1" x14ac:dyDescent="0.2">
      <c r="B38" s="36"/>
      <c r="C38" s="65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</row>
    <row r="39" spans="2:14" s="67" customFormat="1" x14ac:dyDescent="0.2">
      <c r="B39" s="36"/>
      <c r="C39" s="65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</row>
    <row r="40" spans="2:14" s="67" customFormat="1" x14ac:dyDescent="0.2">
      <c r="B40" s="36"/>
      <c r="C40" s="65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</row>
    <row r="41" spans="2:14" s="67" customFormat="1" x14ac:dyDescent="0.2">
      <c r="B41" s="36"/>
      <c r="C41" s="65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</row>
    <row r="42" spans="2:14" s="67" customFormat="1" x14ac:dyDescent="0.2">
      <c r="B42" s="36"/>
      <c r="C42" s="65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</row>
    <row r="43" spans="2:14" s="67" customFormat="1" x14ac:dyDescent="0.2">
      <c r="B43" s="36"/>
      <c r="C43" s="65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</row>
    <row r="44" spans="2:14" s="67" customFormat="1" x14ac:dyDescent="0.2">
      <c r="B44" s="36"/>
      <c r="C44" s="65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</row>
    <row r="45" spans="2:14" s="67" customFormat="1" x14ac:dyDescent="0.2">
      <c r="B45" s="36"/>
      <c r="C45" s="65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</row>
    <row r="46" spans="2:14" s="67" customFormat="1" x14ac:dyDescent="0.2">
      <c r="B46" s="36"/>
      <c r="C46" s="65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</row>
    <row r="47" spans="2:14" s="67" customFormat="1" x14ac:dyDescent="0.2">
      <c r="B47" s="36"/>
      <c r="C47" s="65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</row>
    <row r="48" spans="2:14" s="67" customFormat="1" x14ac:dyDescent="0.2">
      <c r="B48" s="36"/>
      <c r="C48" s="65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</row>
    <row r="49" spans="1:18" s="67" customFormat="1" x14ac:dyDescent="0.2">
      <c r="B49" s="36"/>
      <c r="C49" s="65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</row>
    <row r="50" spans="1:18" s="67" customFormat="1" x14ac:dyDescent="0.2">
      <c r="B50" s="36"/>
      <c r="C50" s="65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</row>
    <row r="51" spans="1:18" s="67" customFormat="1" x14ac:dyDescent="0.2">
      <c r="B51" s="36"/>
      <c r="C51" s="65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</row>
    <row r="52" spans="1:18" s="67" customFormat="1" x14ac:dyDescent="0.2">
      <c r="B52" s="36"/>
      <c r="C52" s="65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</row>
    <row r="53" spans="1:18" s="67" customFormat="1" x14ac:dyDescent="0.2">
      <c r="B53" s="90" t="s">
        <v>690</v>
      </c>
      <c r="C53" s="65"/>
      <c r="D53" s="36"/>
      <c r="E53" s="36"/>
      <c r="F53" s="36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</row>
    <row r="54" spans="1:18" s="67" customFormat="1" x14ac:dyDescent="0.2">
      <c r="B54" s="36" t="s">
        <v>692</v>
      </c>
      <c r="C54" s="65"/>
      <c r="D54" s="36"/>
      <c r="E54" s="36"/>
      <c r="F54" s="36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</row>
    <row r="55" spans="1:18" s="67" customFormat="1" x14ac:dyDescent="0.2">
      <c r="B55" s="36" t="s">
        <v>693</v>
      </c>
      <c r="C55" s="65"/>
      <c r="D55" s="36"/>
      <c r="E55" s="36"/>
      <c r="F55" s="36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</row>
    <row r="56" spans="1:18" s="116" customFormat="1" x14ac:dyDescent="0.2">
      <c r="A56" s="67"/>
      <c r="B56" s="36" t="s">
        <v>707</v>
      </c>
      <c r="C56" s="65"/>
      <c r="D56" s="36"/>
      <c r="E56" s="36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</row>
    <row r="57" spans="1:18" s="116" customFormat="1" x14ac:dyDescent="0.2">
      <c r="A57" s="67"/>
      <c r="B57" s="36"/>
      <c r="C57" s="65"/>
      <c r="D57" s="36"/>
      <c r="E57" s="36"/>
    </row>
    <row r="58" spans="1:18" s="116" customFormat="1" x14ac:dyDescent="0.2">
      <c r="A58" s="67"/>
      <c r="B58" s="36"/>
      <c r="C58" s="65"/>
      <c r="D58" s="36"/>
      <c r="E58" s="36"/>
    </row>
    <row r="59" spans="1:18" s="116" customFormat="1" x14ac:dyDescent="0.2">
      <c r="A59" s="67"/>
      <c r="B59" s="36"/>
      <c r="C59" s="65"/>
      <c r="D59" s="36"/>
      <c r="E59" s="36"/>
    </row>
    <row r="60" spans="1:18" s="116" customFormat="1" x14ac:dyDescent="0.2">
      <c r="A60" s="67"/>
      <c r="B60" s="36"/>
      <c r="C60" s="65"/>
      <c r="D60" s="36"/>
      <c r="E60" s="36"/>
    </row>
    <row r="61" spans="1:18" s="116" customFormat="1" x14ac:dyDescent="0.2">
      <c r="A61" s="67"/>
      <c r="B61" s="36"/>
      <c r="C61" s="65"/>
      <c r="D61" s="36"/>
      <c r="E61" s="36"/>
    </row>
    <row r="62" spans="1:18" s="116" customFormat="1" x14ac:dyDescent="0.2">
      <c r="A62" s="67"/>
      <c r="B62" s="36"/>
      <c r="C62" s="65"/>
      <c r="D62" s="36"/>
      <c r="E62" s="36"/>
    </row>
    <row r="63" spans="1:18" s="116" customFormat="1" x14ac:dyDescent="0.2">
      <c r="A63" s="67"/>
      <c r="B63" s="36"/>
      <c r="C63" s="65"/>
      <c r="D63" s="36"/>
      <c r="E63" s="36"/>
    </row>
    <row r="64" spans="1:18" s="116" customFormat="1" x14ac:dyDescent="0.2">
      <c r="A64" s="67"/>
      <c r="B64" s="36"/>
      <c r="C64" s="65"/>
      <c r="D64" s="36"/>
      <c r="E64" s="36"/>
    </row>
    <row r="65" spans="1:5" s="116" customFormat="1" x14ac:dyDescent="0.2">
      <c r="A65" s="67"/>
      <c r="B65" s="36"/>
      <c r="C65" s="65"/>
      <c r="D65" s="36"/>
      <c r="E65" s="36"/>
    </row>
    <row r="66" spans="1:5" s="116" customFormat="1" x14ac:dyDescent="0.2">
      <c r="A66" s="67"/>
      <c r="B66" s="36"/>
      <c r="C66" s="65"/>
      <c r="D66" s="36"/>
      <c r="E66" s="36"/>
    </row>
    <row r="67" spans="1:5" s="116" customFormat="1" x14ac:dyDescent="0.2">
      <c r="A67" s="67"/>
      <c r="B67" s="36"/>
      <c r="C67" s="65"/>
      <c r="D67" s="36"/>
      <c r="E67" s="36"/>
    </row>
    <row r="68" spans="1:5" s="116" customFormat="1" x14ac:dyDescent="0.2">
      <c r="A68" s="67"/>
      <c r="B68" s="36"/>
      <c r="C68" s="65"/>
      <c r="D68" s="36"/>
      <c r="E68" s="36"/>
    </row>
    <row r="69" spans="1:5" s="116" customFormat="1" x14ac:dyDescent="0.2">
      <c r="A69" s="67"/>
      <c r="B69" s="36"/>
      <c r="C69" s="65"/>
      <c r="D69" s="36"/>
      <c r="E69" s="36"/>
    </row>
    <row r="70" spans="1:5" s="116" customFormat="1" x14ac:dyDescent="0.2">
      <c r="A70" s="67"/>
      <c r="B70" s="36"/>
      <c r="C70" s="65"/>
      <c r="D70" s="36"/>
      <c r="E70" s="36"/>
    </row>
    <row r="71" spans="1:5" s="116" customFormat="1" x14ac:dyDescent="0.2">
      <c r="A71" s="67"/>
      <c r="B71" s="36"/>
      <c r="C71" s="65"/>
      <c r="D71" s="36"/>
      <c r="E71" s="36"/>
    </row>
    <row r="72" spans="1:5" s="116" customFormat="1" x14ac:dyDescent="0.2">
      <c r="A72" s="67"/>
      <c r="B72" s="36"/>
      <c r="C72" s="65"/>
      <c r="D72" s="36"/>
      <c r="E72" s="36"/>
    </row>
    <row r="73" spans="1:5" s="116" customFormat="1" x14ac:dyDescent="0.2">
      <c r="A73" s="67"/>
      <c r="B73" s="36"/>
      <c r="C73" s="65"/>
      <c r="D73" s="36"/>
      <c r="E73" s="36"/>
    </row>
    <row r="74" spans="1:5" s="116" customFormat="1" x14ac:dyDescent="0.2">
      <c r="A74" s="67"/>
      <c r="B74" s="36"/>
      <c r="C74" s="65"/>
      <c r="D74" s="36"/>
      <c r="E74" s="36"/>
    </row>
    <row r="75" spans="1:5" s="116" customFormat="1" x14ac:dyDescent="0.2">
      <c r="A75" s="67"/>
      <c r="B75" s="36"/>
      <c r="C75" s="65"/>
      <c r="D75" s="36"/>
      <c r="E75" s="36"/>
    </row>
    <row r="76" spans="1:5" s="116" customFormat="1" x14ac:dyDescent="0.2">
      <c r="A76" s="67"/>
      <c r="B76" s="36"/>
      <c r="C76" s="65"/>
      <c r="D76" s="36"/>
      <c r="E76" s="36"/>
    </row>
    <row r="77" spans="1:5" s="116" customFormat="1" x14ac:dyDescent="0.2">
      <c r="A77" s="67"/>
      <c r="B77" s="36"/>
      <c r="C77" s="65"/>
      <c r="D77" s="36"/>
      <c r="E77" s="36"/>
    </row>
    <row r="78" spans="1:5" s="116" customFormat="1" x14ac:dyDescent="0.2">
      <c r="A78" s="67"/>
      <c r="B78" s="36"/>
      <c r="C78" s="65"/>
      <c r="D78" s="36"/>
      <c r="E78" s="36"/>
    </row>
    <row r="79" spans="1:5" s="116" customFormat="1" x14ac:dyDescent="0.2">
      <c r="A79" s="67"/>
      <c r="B79" s="36"/>
      <c r="C79" s="65"/>
      <c r="D79" s="36"/>
      <c r="E79" s="36"/>
    </row>
    <row r="80" spans="1:5" s="116" customFormat="1" x14ac:dyDescent="0.2">
      <c r="A80" s="67"/>
      <c r="B80" s="36"/>
      <c r="C80" s="65"/>
      <c r="D80" s="36"/>
      <c r="E80" s="36"/>
    </row>
    <row r="81" spans="1:5" s="116" customFormat="1" x14ac:dyDescent="0.2">
      <c r="A81" s="67"/>
      <c r="B81" s="36"/>
      <c r="C81" s="65"/>
      <c r="D81" s="36"/>
      <c r="E81" s="36"/>
    </row>
    <row r="82" spans="1:5" s="116" customFormat="1" x14ac:dyDescent="0.2">
      <c r="A82" s="67"/>
      <c r="B82" s="36"/>
      <c r="C82" s="65"/>
      <c r="D82" s="36"/>
      <c r="E82" s="36"/>
    </row>
    <row r="83" spans="1:5" s="116" customFormat="1" x14ac:dyDescent="0.2">
      <c r="A83" s="67"/>
      <c r="B83" s="36"/>
      <c r="C83" s="65"/>
      <c r="D83" s="36"/>
      <c r="E83" s="36"/>
    </row>
    <row r="84" spans="1:5" s="116" customFormat="1" x14ac:dyDescent="0.2">
      <c r="A84" s="67"/>
      <c r="B84" s="36"/>
      <c r="C84" s="65"/>
      <c r="D84" s="36"/>
      <c r="E84" s="36"/>
    </row>
    <row r="85" spans="1:5" s="116" customFormat="1" x14ac:dyDescent="0.2">
      <c r="A85" s="67"/>
      <c r="B85" s="36"/>
      <c r="C85" s="65"/>
      <c r="D85" s="36"/>
      <c r="E85" s="36"/>
    </row>
    <row r="86" spans="1:5" s="116" customFormat="1" x14ac:dyDescent="0.2">
      <c r="A86" s="67"/>
      <c r="B86" s="36"/>
      <c r="C86" s="65"/>
      <c r="D86" s="36"/>
      <c r="E86" s="36"/>
    </row>
    <row r="87" spans="1:5" s="116" customFormat="1" x14ac:dyDescent="0.2">
      <c r="A87" s="67"/>
      <c r="B87" s="36"/>
      <c r="C87" s="65"/>
      <c r="D87" s="36"/>
      <c r="E87" s="36"/>
    </row>
    <row r="88" spans="1:5" s="116" customFormat="1" x14ac:dyDescent="0.2">
      <c r="A88" s="67"/>
      <c r="B88" s="36"/>
      <c r="C88" s="65"/>
      <c r="D88" s="36"/>
      <c r="E88" s="36"/>
    </row>
    <row r="89" spans="1:5" s="116" customFormat="1" x14ac:dyDescent="0.2">
      <c r="A89" s="67"/>
      <c r="B89" s="36"/>
      <c r="C89" s="65"/>
      <c r="D89" s="36"/>
      <c r="E89" s="36"/>
    </row>
    <row r="90" spans="1:5" s="116" customFormat="1" x14ac:dyDescent="0.2">
      <c r="A90" s="67"/>
      <c r="B90" s="36"/>
      <c r="C90" s="65"/>
      <c r="D90" s="36"/>
      <c r="E90" s="36"/>
    </row>
    <row r="91" spans="1:5" s="116" customFormat="1" x14ac:dyDescent="0.2">
      <c r="A91" s="67"/>
      <c r="B91" s="36"/>
      <c r="C91" s="65"/>
      <c r="D91" s="36"/>
      <c r="E91" s="36"/>
    </row>
    <row r="92" spans="1:5" s="116" customFormat="1" x14ac:dyDescent="0.2">
      <c r="A92" s="67"/>
      <c r="B92" s="36"/>
      <c r="C92" s="65"/>
      <c r="D92" s="36"/>
      <c r="E92" s="36"/>
    </row>
    <row r="93" spans="1:5" s="116" customFormat="1" x14ac:dyDescent="0.2">
      <c r="A93" s="67"/>
      <c r="B93" s="36"/>
      <c r="C93" s="65"/>
      <c r="D93" s="36"/>
      <c r="E93" s="36"/>
    </row>
    <row r="94" spans="1:5" s="116" customFormat="1" x14ac:dyDescent="0.2">
      <c r="A94" s="67"/>
      <c r="B94" s="36"/>
      <c r="C94" s="65"/>
      <c r="D94" s="36"/>
      <c r="E94" s="36"/>
    </row>
    <row r="95" spans="1:5" s="116" customFormat="1" x14ac:dyDescent="0.2">
      <c r="A95" s="67"/>
      <c r="B95" s="36"/>
      <c r="C95" s="65"/>
      <c r="D95" s="36"/>
      <c r="E95" s="36"/>
    </row>
    <row r="96" spans="1:5" s="116" customFormat="1" x14ac:dyDescent="0.2">
      <c r="A96" s="67"/>
      <c r="B96" s="36"/>
      <c r="C96" s="65"/>
      <c r="D96" s="36"/>
      <c r="E96" s="36"/>
    </row>
    <row r="97" spans="1:5" s="116" customFormat="1" x14ac:dyDescent="0.2">
      <c r="A97" s="67"/>
      <c r="B97" s="36"/>
      <c r="C97" s="65"/>
      <c r="D97" s="36"/>
      <c r="E97" s="36"/>
    </row>
    <row r="98" spans="1:5" s="116" customFormat="1" x14ac:dyDescent="0.2">
      <c r="A98" s="67"/>
      <c r="B98" s="36"/>
      <c r="C98" s="65"/>
      <c r="D98" s="36"/>
      <c r="E98" s="36"/>
    </row>
    <row r="99" spans="1:5" s="116" customFormat="1" x14ac:dyDescent="0.2">
      <c r="A99" s="67"/>
      <c r="B99" s="36"/>
      <c r="C99" s="65"/>
      <c r="D99" s="36"/>
      <c r="E99" s="36"/>
    </row>
    <row r="100" spans="1:5" s="116" customFormat="1" x14ac:dyDescent="0.2">
      <c r="A100" s="67"/>
      <c r="B100" s="36"/>
      <c r="C100" s="65"/>
      <c r="D100" s="36"/>
      <c r="E100" s="36"/>
    </row>
    <row r="101" spans="1:5" s="116" customFormat="1" x14ac:dyDescent="0.2">
      <c r="A101" s="67"/>
      <c r="B101" s="36"/>
      <c r="C101" s="65"/>
      <c r="D101" s="36"/>
      <c r="E101" s="36"/>
    </row>
    <row r="102" spans="1:5" s="116" customFormat="1" x14ac:dyDescent="0.2">
      <c r="A102" s="67"/>
      <c r="B102" s="36"/>
      <c r="C102" s="65"/>
      <c r="D102" s="36"/>
      <c r="E102" s="36"/>
    </row>
    <row r="103" spans="1:5" s="116" customFormat="1" x14ac:dyDescent="0.2">
      <c r="A103" s="67"/>
      <c r="B103" s="36"/>
      <c r="C103" s="65"/>
      <c r="D103" s="36"/>
      <c r="E103" s="36"/>
    </row>
    <row r="104" spans="1:5" s="116" customFormat="1" x14ac:dyDescent="0.2">
      <c r="A104" s="67"/>
      <c r="B104" s="36"/>
      <c r="C104" s="65"/>
      <c r="D104" s="36"/>
      <c r="E104" s="36"/>
    </row>
    <row r="105" spans="1:5" s="116" customFormat="1" x14ac:dyDescent="0.2">
      <c r="A105" s="67"/>
      <c r="B105" s="36"/>
      <c r="C105" s="65"/>
      <c r="D105" s="36"/>
      <c r="E105" s="36"/>
    </row>
    <row r="106" spans="1:5" s="116" customFormat="1" x14ac:dyDescent="0.2">
      <c r="A106" s="67"/>
      <c r="B106" s="36"/>
      <c r="C106" s="65"/>
      <c r="D106" s="36"/>
      <c r="E106" s="36"/>
    </row>
    <row r="107" spans="1:5" s="116" customFormat="1" x14ac:dyDescent="0.2">
      <c r="A107" s="67"/>
      <c r="B107" s="36"/>
      <c r="C107" s="65"/>
      <c r="D107" s="36"/>
      <c r="E107" s="36"/>
    </row>
    <row r="108" spans="1:5" s="116" customFormat="1" x14ac:dyDescent="0.2">
      <c r="A108" s="67"/>
      <c r="B108" s="36"/>
      <c r="C108" s="65"/>
      <c r="D108" s="36"/>
      <c r="E108" s="36"/>
    </row>
    <row r="109" spans="1:5" s="116" customFormat="1" x14ac:dyDescent="0.2">
      <c r="A109" s="67"/>
      <c r="B109" s="36"/>
      <c r="C109" s="65"/>
      <c r="D109" s="36"/>
      <c r="E109" s="36"/>
    </row>
    <row r="110" spans="1:5" s="116" customFormat="1" x14ac:dyDescent="0.2">
      <c r="A110" s="67"/>
      <c r="B110" s="36"/>
      <c r="C110" s="65"/>
      <c r="D110" s="36"/>
      <c r="E110" s="36"/>
    </row>
    <row r="111" spans="1:5" s="116" customFormat="1" x14ac:dyDescent="0.2">
      <c r="A111" s="67"/>
      <c r="B111" s="36"/>
      <c r="C111" s="65"/>
      <c r="D111" s="36"/>
      <c r="E111" s="36"/>
    </row>
    <row r="112" spans="1:5" s="116" customFormat="1" x14ac:dyDescent="0.2">
      <c r="A112" s="67"/>
      <c r="B112" s="36"/>
      <c r="C112" s="65"/>
      <c r="D112" s="36"/>
      <c r="E112" s="36"/>
    </row>
    <row r="113" spans="1:33" s="116" customFormat="1" x14ac:dyDescent="0.2">
      <c r="A113" s="67"/>
      <c r="B113" s="36"/>
      <c r="C113" s="65"/>
      <c r="D113" s="36"/>
      <c r="E113" s="36"/>
    </row>
    <row r="114" spans="1:33" s="116" customFormat="1" x14ac:dyDescent="0.2">
      <c r="A114" s="67"/>
      <c r="B114" s="36"/>
      <c r="C114" s="65"/>
      <c r="D114" s="36"/>
      <c r="E114" s="36"/>
    </row>
    <row r="115" spans="1:33" s="116" customFormat="1" x14ac:dyDescent="0.2">
      <c r="A115" s="67"/>
      <c r="B115" s="36"/>
      <c r="C115" s="65"/>
      <c r="D115" s="36"/>
      <c r="E115" s="36"/>
    </row>
    <row r="116" spans="1:33" s="116" customFormat="1" x14ac:dyDescent="0.2">
      <c r="A116" s="67"/>
      <c r="B116" s="36"/>
      <c r="C116" s="65"/>
      <c r="D116" s="36"/>
      <c r="E116" s="36"/>
    </row>
    <row r="117" spans="1:33" x14ac:dyDescent="0.2">
      <c r="C117" s="65"/>
      <c r="O117" s="67"/>
      <c r="P117" s="67"/>
    </row>
    <row r="118" spans="1:33" ht="16" thickBot="1" x14ac:dyDescent="0.25">
      <c r="C118" s="65"/>
      <c r="O118" s="67"/>
      <c r="P118" s="67"/>
    </row>
    <row r="119" spans="1:33" ht="16" thickBot="1" x14ac:dyDescent="0.25">
      <c r="B119" s="113" t="s">
        <v>683</v>
      </c>
      <c r="C119" s="114" t="str" vm="1582">
        <f>CUBEMEMBER("ThisWorkbookDataModel","[TPData].[Close Month].&amp;[2018-07-01T00:00:00]")</f>
        <v>7/1/2018</v>
      </c>
      <c r="D119" s="114" t="str" vm="1583">
        <f>CUBEMEMBER("ThisWorkbookDataModel","[TPData].[Close Month].&amp;[2018-08-01T00:00:00]")</f>
        <v>8/1/2018</v>
      </c>
      <c r="E119" s="114" t="str" vm="1584">
        <f>CUBEMEMBER("ThisWorkbookDataModel","[TPData].[Close Month].&amp;[2018-09-01T00:00:00]")</f>
        <v>9/1/2018</v>
      </c>
      <c r="F119" s="114" t="str" vm="1585">
        <f>CUBEMEMBER("ThisWorkbookDataModel","[TPData].[Close Month].&amp;[2018-10-01T00:00:00]")</f>
        <v>10/1/2018</v>
      </c>
      <c r="G119" s="114" t="str" vm="1586">
        <f>CUBEMEMBER("ThisWorkbookDataModel","[TPData].[Close Month].&amp;[2018-11-01T00:00:00]")</f>
        <v>11/1/2018</v>
      </c>
      <c r="H119" s="114" t="str" vm="1587">
        <f>CUBEMEMBER("ThisWorkbookDataModel","[TPData].[Close Month].&amp;[2018-12-01T00:00:00]")</f>
        <v>12/1/2018</v>
      </c>
      <c r="I119" s="114" t="str" vm="1588">
        <f>CUBEMEMBER("ThisWorkbookDataModel","[TPData].[Close Month].&amp;[2019-01-01T00:00:00]")</f>
        <v>1/1/2019</v>
      </c>
      <c r="J119" s="114" t="str" vm="1589">
        <f>CUBEMEMBER("ThisWorkbookDataModel","[TPData].[Close Month].&amp;[2019-02-01T00:00:00]")</f>
        <v>2/1/2019</v>
      </c>
      <c r="K119" s="114" t="str" vm="1590">
        <f>CUBEMEMBER("ThisWorkbookDataModel","[TPData].[Close Month].&amp;[2019-03-01T00:00:00]")</f>
        <v>3/1/2019</v>
      </c>
      <c r="L119" s="114" t="str" vm="1591">
        <f>CUBEMEMBER("ThisWorkbookDataModel","[TPData].[Close Month].&amp;[2019-04-01T00:00:00]")</f>
        <v>4/1/2019</v>
      </c>
      <c r="M119" s="114" t="str" vm="1592">
        <f>CUBEMEMBER("ThisWorkbookDataModel","[TPData].[Close Month].&amp;[2019-05-01T00:00:00]")</f>
        <v>5/1/2019</v>
      </c>
      <c r="N119" s="114" t="str" vm="1593">
        <f>CUBEMEMBER("ThisWorkbookDataModel","[TPData].[Close Month].&amp;[2019-06-01T00:00:00]")</f>
        <v>6/1/2019</v>
      </c>
      <c r="O119" s="67"/>
      <c r="P119" s="67"/>
    </row>
    <row r="120" spans="1:33" x14ac:dyDescent="0.2">
      <c r="B120" s="67" t="s" vm="1595">
        <v>610</v>
      </c>
      <c r="C120" s="43" vm="1602">
        <f>Revenue!C6</f>
        <v>54739.08</v>
      </c>
      <c r="D120" s="43" vm="1652">
        <f>Revenue!D6</f>
        <v>96540.6</v>
      </c>
      <c r="E120" s="43" vm="1622">
        <f>Revenue!E6</f>
        <v>65843.399999999994</v>
      </c>
      <c r="F120" s="43" vm="1612">
        <f>Revenue!F6</f>
        <v>61092.536</v>
      </c>
      <c r="G120" s="43" vm="1601">
        <f>Revenue!G6</f>
        <v>33601.3632</v>
      </c>
      <c r="H120" s="43" vm="1653">
        <f>Revenue!H6</f>
        <v>58497.57</v>
      </c>
      <c r="I120" s="43" vm="1633">
        <f>Revenue!I6</f>
        <v>48191.426999999996</v>
      </c>
      <c r="J120" s="43" vm="1611">
        <f>Revenue!J6</f>
        <v>45393.047519999993</v>
      </c>
      <c r="K120" s="43" vm="1600">
        <f>Revenue!K6</f>
        <v>87465.583200000008</v>
      </c>
      <c r="L120" s="43" vm="1654">
        <f>Revenue!L6</f>
        <v>59802.038399999998</v>
      </c>
      <c r="M120" s="43" vm="1621">
        <f>Revenue!M6</f>
        <v>34546.800000000003</v>
      </c>
      <c r="N120" s="43" vm="1640">
        <f>Revenue!N6</f>
        <v>61989.203135999996</v>
      </c>
      <c r="O120" s="67"/>
      <c r="P120" s="67"/>
    </row>
    <row r="121" spans="1:33" x14ac:dyDescent="0.2">
      <c r="B121" s="67" t="s" vm="1594">
        <v>611</v>
      </c>
      <c r="C121" s="43" vm="1629">
        <f>Revenue!C7</f>
        <v>55556.800000000003</v>
      </c>
      <c r="D121" s="43" vm="1636">
        <f>Revenue!D7</f>
        <v>58119.380735999999</v>
      </c>
      <c r="E121" s="43" vm="1608">
        <f>Revenue!E7</f>
        <v>69700.761839999992</v>
      </c>
      <c r="F121" s="43" vm="1646">
        <f>Revenue!F7</f>
        <v>135174.96360000002</v>
      </c>
      <c r="G121" s="43" vm="1625">
        <f>Revenue!G7</f>
        <v>88554.241199999989</v>
      </c>
      <c r="H121" s="43" vm="1615">
        <f>Revenue!H7</f>
        <v>107300.7444</v>
      </c>
      <c r="I121" s="43" vm="1607">
        <f>Revenue!I7</f>
        <v>68686.573600000003</v>
      </c>
      <c r="J121" s="43" vm="1647">
        <f>Revenue!J7</f>
        <v>78234.095759999997</v>
      </c>
      <c r="K121" s="43" vm="1630">
        <f>Revenue!K7</f>
        <v>75945.239999999991</v>
      </c>
      <c r="L121" s="43" vm="1637">
        <f>Revenue!L7</f>
        <v>137688.62</v>
      </c>
      <c r="M121" s="43" vm="1606">
        <f>Revenue!M7</f>
        <v>130064.37039999999</v>
      </c>
      <c r="N121" s="43" vm="1648">
        <f>Revenue!N7</f>
        <v>78206.924495999992</v>
      </c>
      <c r="O121" s="67"/>
      <c r="P121" s="67"/>
    </row>
    <row r="122" spans="1:33" x14ac:dyDescent="0.2">
      <c r="B122" s="67" t="s" vm="1598">
        <v>612</v>
      </c>
      <c r="C122" s="43" vm="1642">
        <f>Revenue!C8</f>
        <v>83620.478399999993</v>
      </c>
      <c r="D122" s="43" vm="1627">
        <f>Revenue!D8</f>
        <v>12408</v>
      </c>
      <c r="E122" s="43" vm="1617">
        <f>Revenue!E8</f>
        <v>45334.8</v>
      </c>
      <c r="F122" s="43" vm="1662">
        <f>Revenue!F8</f>
        <v>71100</v>
      </c>
      <c r="G122" s="43" vm="1643">
        <f>Revenue!G8</f>
        <v>165160.26</v>
      </c>
      <c r="H122" s="43" vm="1628">
        <f>Revenue!H8</f>
        <v>148238.55839999998</v>
      </c>
      <c r="I122" s="43" vm="1635">
        <f>Revenue!I8</f>
        <v>98167.12</v>
      </c>
      <c r="J122" s="43" vm="1663">
        <f>Revenue!J8</f>
        <v>37060</v>
      </c>
      <c r="K122" s="43" vm="1644">
        <f>Revenue!K8</f>
        <v>127809.60000000001</v>
      </c>
      <c r="L122" s="43" vm="1626">
        <f>Revenue!L8</f>
        <v>98666.176000000007</v>
      </c>
      <c r="M122" s="43" vm="1616">
        <f>Revenue!M8</f>
        <v>105613.04000000001</v>
      </c>
      <c r="N122" s="43" vm="1664">
        <f>Revenue!N8</f>
        <v>78684.87999999999</v>
      </c>
      <c r="O122" s="67"/>
      <c r="P122" s="67"/>
    </row>
    <row r="123" spans="1:33" x14ac:dyDescent="0.2">
      <c r="B123" s="11" t="s" vm="1596">
        <v>613</v>
      </c>
      <c r="C123" s="43" vm="1614">
        <f>Revenue!C9</f>
        <v>20000</v>
      </c>
      <c r="D123" s="43" vm="1605">
        <f>Revenue!D9</f>
        <v>28005.120000000003</v>
      </c>
      <c r="E123" s="43" t="str" vm="1649">
        <f>Revenue!E9</f>
        <v/>
      </c>
      <c r="F123" s="43" vm="1631">
        <f>Revenue!F9</f>
        <v>69300.000000000015</v>
      </c>
      <c r="G123" s="43" t="str" vm="1638">
        <f>Revenue!G9</f>
        <v/>
      </c>
      <c r="H123" s="43" vm="1604">
        <f>Revenue!H9</f>
        <v>61080</v>
      </c>
      <c r="I123" s="43" vm="1650">
        <f>Revenue!I9</f>
        <v>104760.72000000002</v>
      </c>
      <c r="J123" s="43" vm="1623">
        <f>Revenue!J9</f>
        <v>70974.748800000001</v>
      </c>
      <c r="K123" s="43" vm="1613">
        <f>Revenue!K9</f>
        <v>119442.72</v>
      </c>
      <c r="L123" s="43" t="str" vm="1603">
        <f>Revenue!L9</f>
        <v/>
      </c>
      <c r="M123" s="43" vm="1651">
        <f>Revenue!M9</f>
        <v>40824</v>
      </c>
      <c r="N123" s="43" vm="1632">
        <f>Revenue!N9</f>
        <v>24010.800000000003</v>
      </c>
      <c r="O123" s="67"/>
      <c r="P123" s="67"/>
    </row>
    <row r="124" spans="1:33" x14ac:dyDescent="0.2">
      <c r="B124" s="36" t="s">
        <v>640</v>
      </c>
      <c r="C124" s="125" vm="1655">
        <f>Revenue!C10</f>
        <v>213916.3584</v>
      </c>
      <c r="D124" s="125" vm="1620">
        <f>Revenue!D10</f>
        <v>195073.10073599999</v>
      </c>
      <c r="E124" s="125" vm="1610">
        <f>Revenue!E10</f>
        <v>180878.96184000003</v>
      </c>
      <c r="F124" s="125" vm="1659">
        <f>Revenue!F10</f>
        <v>336667.49959999998</v>
      </c>
      <c r="G124" s="125" vm="1656">
        <f>Revenue!G10</f>
        <v>287315.86439999996</v>
      </c>
      <c r="H124" s="125" vm="1634">
        <f>Revenue!H10</f>
        <v>375116.87280000001</v>
      </c>
      <c r="I124" s="125" vm="1641">
        <f>Revenue!I10</f>
        <v>319805.84060000005</v>
      </c>
      <c r="J124" s="125" vm="1660">
        <f>Revenue!J10</f>
        <v>231661.89207999999</v>
      </c>
      <c r="K124" s="125" vm="1657">
        <f>Revenue!K10</f>
        <v>410663.14320000005</v>
      </c>
      <c r="L124" s="125" vm="1619">
        <f>Revenue!L10</f>
        <v>296156.83440000005</v>
      </c>
      <c r="M124" s="125" vm="1609">
        <f>Revenue!M10</f>
        <v>311048.21039999998</v>
      </c>
      <c r="N124" s="125" vm="1661">
        <f>Revenue!N10</f>
        <v>242891.80763200004</v>
      </c>
      <c r="O124" s="125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  <c r="AE124" s="67"/>
      <c r="AF124" s="67"/>
      <c r="AG124" s="67"/>
    </row>
    <row r="125" spans="1:33" ht="16" thickBot="1" x14ac:dyDescent="0.25"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  <c r="AD125" s="67"/>
      <c r="AE125" s="67"/>
      <c r="AF125" s="67"/>
      <c r="AG125" s="67"/>
    </row>
    <row r="126" spans="1:33" ht="16" thickBot="1" x14ac:dyDescent="0.25">
      <c r="C126" s="114" t="s" vm="1582">
        <v>670</v>
      </c>
      <c r="D126" s="114" t="s" vm="1583">
        <v>671</v>
      </c>
      <c r="E126" s="114" t="s" vm="1584">
        <v>672</v>
      </c>
      <c r="F126" s="114" t="s" vm="1585">
        <v>673</v>
      </c>
      <c r="G126" s="114" t="s" vm="1586">
        <v>674</v>
      </c>
      <c r="H126" s="114" t="s" vm="1587">
        <v>675</v>
      </c>
      <c r="I126" s="114" t="s" vm="1588">
        <v>676</v>
      </c>
      <c r="J126" s="114" t="s" vm="1589">
        <v>677</v>
      </c>
      <c r="K126" s="114" t="s" vm="1590">
        <v>678</v>
      </c>
      <c r="L126" s="114" t="s" vm="1591">
        <v>679</v>
      </c>
      <c r="M126" s="114" t="s" vm="1592">
        <v>680</v>
      </c>
      <c r="N126" s="114" t="s" vm="1593">
        <v>681</v>
      </c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D126" s="67"/>
      <c r="AE126" s="67"/>
      <c r="AF126" s="67"/>
      <c r="AG126" s="67"/>
    </row>
    <row r="127" spans="1:33" x14ac:dyDescent="0.2">
      <c r="B127" s="67" t="str" vm="1597">
        <f>CUBEMEMBER("ThisWorkbookDataModel","[TPData].[Deal Size].[All]","Grand Total")</f>
        <v>Grand Total</v>
      </c>
      <c r="C127" s="125" vm="1655">
        <f>Revenue!C10</f>
        <v>213916.3584</v>
      </c>
      <c r="D127" s="125" vm="1620">
        <f>Revenue!D10</f>
        <v>195073.10073599999</v>
      </c>
      <c r="E127" s="125" vm="1610">
        <f>Revenue!E10</f>
        <v>180878.96184000003</v>
      </c>
      <c r="F127" s="125" vm="1659">
        <f>Revenue!F10</f>
        <v>336667.49959999998</v>
      </c>
      <c r="G127" s="125" vm="1656">
        <f>Revenue!G10</f>
        <v>287315.86439999996</v>
      </c>
      <c r="H127" s="125" vm="1634">
        <f>Revenue!H10</f>
        <v>375116.87280000001</v>
      </c>
      <c r="I127" s="125" vm="1641">
        <f>Revenue!I10</f>
        <v>319805.84060000005</v>
      </c>
      <c r="J127" s="125" vm="1660">
        <f>Revenue!J10</f>
        <v>231661.89207999999</v>
      </c>
      <c r="K127" s="125" vm="1657">
        <f>Revenue!K10</f>
        <v>410663.14320000005</v>
      </c>
      <c r="L127" s="125" vm="1619">
        <f>Revenue!L10</f>
        <v>296156.83440000005</v>
      </c>
      <c r="M127" s="125" vm="1609">
        <f>Revenue!M10</f>
        <v>311048.21039999998</v>
      </c>
      <c r="N127" s="125" vm="1661">
        <f>Revenue!N10</f>
        <v>242891.80763200004</v>
      </c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  <c r="AE127" s="67"/>
      <c r="AF127" s="67"/>
      <c r="AG127" s="67"/>
    </row>
    <row r="128" spans="1:33" x14ac:dyDescent="0.2">
      <c r="B128" s="36" t="s">
        <v>682</v>
      </c>
      <c r="C128" s="125">
        <f>Revenue!C35</f>
        <v>3.0833333333333335</v>
      </c>
      <c r="D128" s="125">
        <f>Revenue!D35</f>
        <v>3.75</v>
      </c>
      <c r="E128" s="125">
        <f>Revenue!E35</f>
        <v>3.4166666666666665</v>
      </c>
      <c r="F128" s="125">
        <f>Revenue!F35</f>
        <v>4.166666666666667</v>
      </c>
      <c r="G128" s="125">
        <f>Revenue!G35</f>
        <v>3.25</v>
      </c>
      <c r="H128" s="125">
        <f>Revenue!H35</f>
        <v>4.1666666666666661</v>
      </c>
      <c r="I128" s="125">
        <f>Revenue!I35</f>
        <v>2.9166666666666665</v>
      </c>
      <c r="J128" s="125">
        <f>Revenue!J35</f>
        <v>3</v>
      </c>
      <c r="K128" s="125">
        <f>Revenue!K35</f>
        <v>4.75</v>
      </c>
      <c r="L128" s="125">
        <f>Revenue!L35</f>
        <v>4.4166666666666661</v>
      </c>
      <c r="M128" s="125">
        <f>Revenue!M35</f>
        <v>3.666666666666667</v>
      </c>
      <c r="N128" s="125">
        <f>Revenue!N35</f>
        <v>3.25</v>
      </c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  <c r="AE128" s="67"/>
      <c r="AF128" s="67"/>
      <c r="AG128" s="67"/>
    </row>
    <row r="131" spans="2:17" ht="16" thickBot="1" x14ac:dyDescent="0.25"/>
    <row r="132" spans="2:17" ht="16" thickBot="1" x14ac:dyDescent="0.25">
      <c r="C132" s="114" t="s" vm="1582">
        <v>670</v>
      </c>
      <c r="D132" s="114" t="s" vm="1583">
        <v>671</v>
      </c>
      <c r="E132" s="114" t="s" vm="1584">
        <v>672</v>
      </c>
      <c r="F132" s="114" t="s" vm="1585">
        <v>673</v>
      </c>
      <c r="G132" s="114" t="s" vm="1586">
        <v>674</v>
      </c>
      <c r="H132" s="114" t="s" vm="1587">
        <v>675</v>
      </c>
      <c r="I132" s="114" t="s" vm="1588">
        <v>676</v>
      </c>
      <c r="J132" s="114" t="s" vm="1589">
        <v>677</v>
      </c>
      <c r="K132" s="114" t="s" vm="1590">
        <v>678</v>
      </c>
      <c r="L132" s="114" t="s" vm="1591">
        <v>679</v>
      </c>
      <c r="M132" s="114" t="s" vm="1592">
        <v>680</v>
      </c>
      <c r="N132" s="114" t="s" vm="1593">
        <v>681</v>
      </c>
    </row>
    <row r="133" spans="2:17" x14ac:dyDescent="0.2">
      <c r="B133" s="36" t="s">
        <v>640</v>
      </c>
      <c r="C133" s="125" vm="1655">
        <f>Revenue!C10</f>
        <v>213916.3584</v>
      </c>
      <c r="D133" s="125" vm="1620">
        <f>Revenue!D10</f>
        <v>195073.10073599999</v>
      </c>
      <c r="E133" s="125" vm="1610">
        <f>Revenue!E10</f>
        <v>180878.96184000003</v>
      </c>
      <c r="F133" s="125" vm="1659">
        <f>Revenue!F10</f>
        <v>336667.49959999998</v>
      </c>
      <c r="G133" s="125" vm="1656">
        <f>Revenue!G10</f>
        <v>287315.86439999996</v>
      </c>
      <c r="H133" s="125" vm="1634">
        <f>Revenue!H10</f>
        <v>375116.87280000001</v>
      </c>
      <c r="I133" s="125" vm="1641">
        <f>Revenue!I10</f>
        <v>319805.84060000005</v>
      </c>
      <c r="J133" s="125" vm="1660">
        <f>Revenue!J10</f>
        <v>231661.89207999999</v>
      </c>
      <c r="K133" s="125" vm="1657">
        <f>Revenue!K10</f>
        <v>410663.14320000005</v>
      </c>
      <c r="L133" s="125" vm="1619">
        <f>Revenue!L10</f>
        <v>296156.83440000005</v>
      </c>
      <c r="M133" s="125" vm="1609">
        <f>Revenue!M10</f>
        <v>311048.21039999998</v>
      </c>
      <c r="N133" s="125" vm="1661">
        <f>Revenue!N10</f>
        <v>242891.80763200004</v>
      </c>
    </row>
    <row r="134" spans="2:17" s="67" customFormat="1" x14ac:dyDescent="0.2">
      <c r="B134" s="36" t="s">
        <v>575</v>
      </c>
      <c r="C134" s="125" vm="1727">
        <v>37</v>
      </c>
      <c r="D134" s="125" vm="1703">
        <v>45</v>
      </c>
      <c r="E134" s="125" vm="1712">
        <v>41</v>
      </c>
      <c r="F134" s="125" vm="1668">
        <v>50</v>
      </c>
      <c r="G134" s="125" vm="1728">
        <v>39</v>
      </c>
      <c r="H134" s="125" vm="1704">
        <v>50</v>
      </c>
      <c r="I134" s="125" vm="1713">
        <v>35</v>
      </c>
      <c r="J134" s="125" vm="1667">
        <v>36</v>
      </c>
      <c r="K134" s="125" vm="1729">
        <v>57</v>
      </c>
      <c r="L134" s="125" vm="1689">
        <v>53</v>
      </c>
      <c r="M134" s="125" vm="1682">
        <v>44</v>
      </c>
      <c r="N134" s="125" vm="1666">
        <v>39</v>
      </c>
      <c r="O134" s="125"/>
    </row>
    <row r="135" spans="2:17" x14ac:dyDescent="0.2">
      <c r="C135" s="193"/>
      <c r="D135" s="193"/>
      <c r="E135" s="193"/>
      <c r="F135" s="193"/>
      <c r="G135" s="193"/>
      <c r="H135" s="193"/>
      <c r="I135" s="193"/>
      <c r="J135" s="193"/>
      <c r="K135" s="193"/>
      <c r="L135" s="193"/>
      <c r="M135" s="193"/>
      <c r="N135" s="193"/>
    </row>
    <row r="139" spans="2:17" ht="16" thickBot="1" x14ac:dyDescent="0.25">
      <c r="C139" s="109">
        <v>43831</v>
      </c>
      <c r="D139" s="110">
        <v>43862</v>
      </c>
      <c r="E139" s="110">
        <v>43891</v>
      </c>
      <c r="F139" s="110">
        <v>43922</v>
      </c>
      <c r="G139" s="110">
        <v>43952</v>
      </c>
      <c r="H139" s="110">
        <v>43983</v>
      </c>
      <c r="I139" s="110">
        <v>44013</v>
      </c>
      <c r="J139" s="110">
        <v>44044</v>
      </c>
      <c r="K139" s="110">
        <v>44075</v>
      </c>
      <c r="L139" s="110">
        <v>44105</v>
      </c>
      <c r="M139" s="110">
        <v>44136</v>
      </c>
      <c r="N139" s="111">
        <v>44166</v>
      </c>
      <c r="O139" s="22">
        <v>44197</v>
      </c>
      <c r="P139" s="22">
        <v>44228</v>
      </c>
      <c r="Q139" s="22">
        <v>44256</v>
      </c>
    </row>
    <row r="140" spans="2:17" x14ac:dyDescent="0.2">
      <c r="B140" s="36" t="s">
        <v>697</v>
      </c>
      <c r="C140" s="125">
        <f>Model!AC65</f>
        <v>22524.502035326062</v>
      </c>
      <c r="D140" s="125">
        <f>Model!AD65</f>
        <v>68256.066773715342</v>
      </c>
      <c r="E140" s="125">
        <f>Model!AE65</f>
        <v>136512.13354743068</v>
      </c>
      <c r="F140" s="125">
        <f>Model!AF65</f>
        <v>189751.86563092863</v>
      </c>
      <c r="G140" s="125">
        <f>Model!AG65</f>
        <v>238896.23370800368</v>
      </c>
      <c r="H140" s="125">
        <f>Model!AH65</f>
        <v>262785.85707880405</v>
      </c>
      <c r="I140" s="125">
        <f>Model!AI65</f>
        <v>289405.72312055301</v>
      </c>
      <c r="J140" s="125">
        <f>Model!AJ65</f>
        <v>316480.62960746017</v>
      </c>
      <c r="K140" s="125">
        <f>Model!AK65</f>
        <v>344010.5765395253</v>
      </c>
      <c r="L140" s="125">
        <f>Model!AL65</f>
        <v>371995.56391674856</v>
      </c>
      <c r="M140" s="125">
        <f>Model!AM65</f>
        <v>400435.59173912997</v>
      </c>
      <c r="N140" s="125">
        <f>Model!AN65</f>
        <v>429330.66000666947</v>
      </c>
      <c r="O140" s="125"/>
      <c r="P140" s="125"/>
      <c r="Q140" s="125"/>
    </row>
    <row r="141" spans="2:17" x14ac:dyDescent="0.2">
      <c r="B141" s="36" t="s">
        <v>698</v>
      </c>
      <c r="C141" s="125">
        <f>Model!AC100</f>
        <v>34335.783536865943</v>
      </c>
      <c r="D141" s="125">
        <f>Model!AD100</f>
        <v>57408.940010704871</v>
      </c>
      <c r="E141" s="125">
        <f>Model!AE100</f>
        <v>93317.880021409743</v>
      </c>
      <c r="F141" s="125">
        <f>Model!AF100</f>
        <v>104808.51989642621</v>
      </c>
      <c r="G141" s="125">
        <f>Model!AG100</f>
        <v>115889.62337080037</v>
      </c>
      <c r="H141" s="125">
        <f>Model!AH100</f>
        <v>124445.25237454708</v>
      </c>
      <c r="I141" s="125">
        <f>Model!AI100</f>
        <v>143857.23897872196</v>
      </c>
      <c r="J141" s="125">
        <f>Model!AJ100</f>
        <v>152731.39629407937</v>
      </c>
      <c r="K141" s="125">
        <f>Model!AK100</f>
        <v>161651.05765395254</v>
      </c>
      <c r="L141" s="125">
        <f>Model!AL100</f>
        <v>170616.22305834154</v>
      </c>
      <c r="M141" s="125">
        <f>Model!AM100</f>
        <v>179626.89250724635</v>
      </c>
      <c r="N141" s="125">
        <f>Model!AN100</f>
        <v>188683.06600066693</v>
      </c>
      <c r="O141" s="125"/>
      <c r="P141" s="125"/>
      <c r="Q141" s="125"/>
    </row>
  </sheetData>
  <pageMargins left="0.6" right="0.6" top="1" bottom="1" header="0.5" footer="0.5"/>
  <pageSetup orientation="landscape" r:id="rId1"/>
  <headerFooter>
    <oddHeader>&amp;RDraft - Work in Progress</oddHeader>
    <oddFooter>&amp;L&amp;F
&amp;D, &amp;T&amp;C
Page &amp;P of &amp;N&amp;R&amp;A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21B14-D4A3-4FCE-A342-7CC55F3B8D6F}">
  <sheetPr codeName="Sheet3">
    <tabColor theme="9"/>
    <pageSetUpPr fitToPage="1"/>
  </sheetPr>
  <dimension ref="B1:BB103"/>
  <sheetViews>
    <sheetView showGridLines="0" tabSelected="1" zoomScaleNormal="100" workbookViewId="0">
      <pane xSplit="3" ySplit="8" topLeftCell="O87" activePane="bottomRight" state="frozen"/>
      <selection pane="topRight" activeCell="D1" sqref="D1"/>
      <selection pane="bottomLeft" activeCell="A6" sqref="A6"/>
      <selection pane="bottomRight" activeCell="AC86" sqref="AC86"/>
    </sheetView>
  </sheetViews>
  <sheetFormatPr baseColWidth="10" defaultColWidth="8.83203125" defaultRowHeight="15" outlineLevelRow="2" outlineLevelCol="1" x14ac:dyDescent="0.2"/>
  <cols>
    <col min="1" max="1" width="1.83203125" style="23" customWidth="1"/>
    <col min="2" max="2" width="30.83203125" style="23" bestFit="1" customWidth="1"/>
    <col min="3" max="3" width="19.5" style="23" customWidth="1"/>
    <col min="4" max="6" width="19.5" style="214" hidden="1" customWidth="1" outlineLevel="1"/>
    <col min="7" max="7" width="19.5" style="214" customWidth="1" collapsed="1"/>
    <col min="8" max="8" width="11.1640625" style="23" customWidth="1" outlineLevel="1"/>
    <col min="9" max="10" width="10" style="23" customWidth="1" outlineLevel="1"/>
    <col min="11" max="13" width="10.83203125" style="23" customWidth="1" outlineLevel="1"/>
    <col min="14" max="15" width="10" style="23" customWidth="1" outlineLevel="1"/>
    <col min="16" max="18" width="10.83203125" style="23" customWidth="1" outlineLevel="1"/>
    <col min="19" max="19" width="10" style="23" customWidth="1" outlineLevel="1"/>
    <col min="20" max="20" width="10" style="67" customWidth="1" outlineLevel="1"/>
    <col min="21" max="21" width="3.1640625" style="36" customWidth="1"/>
    <col min="22" max="24" width="9.1640625" style="23" hidden="1" customWidth="1" outlineLevel="1"/>
    <col min="25" max="27" width="9.83203125" style="23" hidden="1" customWidth="1" outlineLevel="1"/>
    <col min="28" max="28" width="3.1640625" style="36" customWidth="1" collapsed="1"/>
    <col min="29" max="29" width="10" style="23" bestFit="1" customWidth="1"/>
    <col min="30" max="31" width="11.1640625" style="23" bestFit="1" customWidth="1"/>
    <col min="32" max="32" width="12.5" style="23" bestFit="1" customWidth="1"/>
    <col min="33" max="40" width="11.1640625" style="23" bestFit="1" customWidth="1"/>
    <col min="41" max="41" width="11.1640625" style="67" bestFit="1" customWidth="1"/>
    <col min="42" max="42" width="12.5" style="23" bestFit="1" customWidth="1"/>
    <col min="43" max="43" width="13.6640625" style="23" bestFit="1" customWidth="1"/>
    <col min="44" max="16384" width="8.83203125" style="23"/>
  </cols>
  <sheetData>
    <row r="1" spans="2:54" x14ac:dyDescent="0.2">
      <c r="B1" s="8" t="s">
        <v>581</v>
      </c>
      <c r="C1" s="17"/>
      <c r="D1" s="17"/>
      <c r="E1" s="17"/>
      <c r="F1" s="17"/>
    </row>
    <row r="2" spans="2:54" s="214" customFormat="1" x14ac:dyDescent="0.2">
      <c r="B2" s="8"/>
      <c r="C2" s="17"/>
      <c r="D2" s="17"/>
      <c r="E2" s="17"/>
      <c r="F2" s="17"/>
      <c r="H2" s="214" t="s">
        <v>715</v>
      </c>
      <c r="I2" s="214" t="s">
        <v>713</v>
      </c>
      <c r="U2" s="36"/>
      <c r="AB2" s="36"/>
    </row>
    <row r="3" spans="2:54" s="214" customFormat="1" x14ac:dyDescent="0.2">
      <c r="B3" s="8"/>
      <c r="C3" s="17"/>
      <c r="D3" s="17"/>
      <c r="E3" s="17"/>
      <c r="F3" s="17"/>
      <c r="H3" s="214" t="s">
        <v>711</v>
      </c>
      <c r="I3" s="214" t="s">
        <v>721</v>
      </c>
      <c r="U3" s="36"/>
      <c r="AB3" s="36"/>
    </row>
    <row r="4" spans="2:54" s="214" customFormat="1" x14ac:dyDescent="0.2">
      <c r="B4" s="8"/>
      <c r="C4" s="17"/>
      <c r="D4" s="17"/>
      <c r="E4" s="17"/>
      <c r="F4" s="17"/>
      <c r="H4" s="214" t="s">
        <v>712</v>
      </c>
      <c r="I4" s="214" t="s">
        <v>718</v>
      </c>
      <c r="U4" s="36"/>
      <c r="AB4" s="36"/>
    </row>
    <row r="5" spans="2:54" ht="16" thickBot="1" x14ac:dyDescent="0.25">
      <c r="C5" s="17"/>
      <c r="D5" s="17"/>
      <c r="E5" s="17"/>
      <c r="F5" s="17"/>
      <c r="BB5" s="17"/>
    </row>
    <row r="6" spans="2:54" x14ac:dyDescent="0.2">
      <c r="B6" s="39" t="s">
        <v>582</v>
      </c>
      <c r="H6" s="25" t="s">
        <v>561</v>
      </c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V6" s="27" t="s">
        <v>562</v>
      </c>
      <c r="W6" s="27"/>
      <c r="X6" s="27"/>
      <c r="Y6" s="27"/>
      <c r="Z6" s="27"/>
      <c r="AA6" s="27"/>
      <c r="AC6" s="103" t="s">
        <v>562</v>
      </c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5"/>
      <c r="AO6" s="105"/>
      <c r="BB6" s="17"/>
    </row>
    <row r="7" spans="2:54" x14ac:dyDescent="0.2">
      <c r="B7" s="130" t="s">
        <v>723</v>
      </c>
      <c r="C7" s="17"/>
      <c r="D7" s="17"/>
      <c r="E7" s="17"/>
      <c r="F7" s="17"/>
      <c r="H7" s="25" t="s">
        <v>595</v>
      </c>
      <c r="I7" s="25"/>
      <c r="J7" s="25"/>
      <c r="K7" s="25"/>
      <c r="L7" s="25"/>
      <c r="M7" s="25"/>
      <c r="N7" s="25" t="s">
        <v>596</v>
      </c>
      <c r="O7" s="25"/>
      <c r="P7" s="25"/>
      <c r="Q7" s="25"/>
      <c r="R7" s="25"/>
      <c r="S7" s="25"/>
      <c r="T7" s="25"/>
      <c r="V7" s="27" t="s">
        <v>597</v>
      </c>
      <c r="W7" s="27"/>
      <c r="X7" s="27"/>
      <c r="Y7" s="27"/>
      <c r="Z7" s="27"/>
      <c r="AA7" s="27"/>
      <c r="AC7" s="106" t="s">
        <v>594</v>
      </c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8"/>
      <c r="AO7" s="108"/>
    </row>
    <row r="8" spans="2:54" ht="33" thickBot="1" x14ac:dyDescent="0.25">
      <c r="H8" s="26">
        <v>43282</v>
      </c>
      <c r="I8" s="26">
        <v>43313</v>
      </c>
      <c r="J8" s="26">
        <v>43344</v>
      </c>
      <c r="K8" s="26">
        <v>43374</v>
      </c>
      <c r="L8" s="26">
        <v>43405</v>
      </c>
      <c r="M8" s="26">
        <v>43435</v>
      </c>
      <c r="N8" s="26">
        <v>43466</v>
      </c>
      <c r="O8" s="26">
        <v>43497</v>
      </c>
      <c r="P8" s="26">
        <v>43525</v>
      </c>
      <c r="Q8" s="26">
        <v>43556</v>
      </c>
      <c r="R8" s="26">
        <v>43586</v>
      </c>
      <c r="S8" s="26">
        <v>43617</v>
      </c>
      <c r="T8" s="201" t="s">
        <v>689</v>
      </c>
      <c r="U8" s="161"/>
      <c r="V8" s="28">
        <v>43647</v>
      </c>
      <c r="W8" s="28">
        <v>43678</v>
      </c>
      <c r="X8" s="28">
        <v>43709</v>
      </c>
      <c r="Y8" s="28">
        <v>43739</v>
      </c>
      <c r="Z8" s="28">
        <v>43770</v>
      </c>
      <c r="AA8" s="28">
        <v>43800</v>
      </c>
      <c r="AB8" s="161"/>
      <c r="AC8" s="109">
        <v>43831</v>
      </c>
      <c r="AD8" s="110">
        <v>43862</v>
      </c>
      <c r="AE8" s="110">
        <v>43891</v>
      </c>
      <c r="AF8" s="110">
        <v>43922</v>
      </c>
      <c r="AG8" s="110">
        <v>43952</v>
      </c>
      <c r="AH8" s="110">
        <v>43983</v>
      </c>
      <c r="AI8" s="110">
        <v>44013</v>
      </c>
      <c r="AJ8" s="110">
        <v>44044</v>
      </c>
      <c r="AK8" s="110">
        <v>44075</v>
      </c>
      <c r="AL8" s="110">
        <v>44105</v>
      </c>
      <c r="AM8" s="110">
        <v>44136</v>
      </c>
      <c r="AN8" s="111">
        <v>44166</v>
      </c>
      <c r="AO8" s="135" t="s">
        <v>635</v>
      </c>
    </row>
    <row r="9" spans="2:54" x14ac:dyDescent="0.2">
      <c r="B9" s="30" t="s">
        <v>560</v>
      </c>
      <c r="C9" s="30"/>
      <c r="D9" s="30"/>
      <c r="E9" s="30"/>
      <c r="F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5"/>
      <c r="V9" s="30"/>
      <c r="W9" s="30"/>
      <c r="X9" s="30"/>
      <c r="Y9" s="30"/>
      <c r="Z9" s="30"/>
      <c r="AA9" s="30"/>
      <c r="AB9" s="35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</row>
    <row r="10" spans="2:54" x14ac:dyDescent="0.2">
      <c r="B10" s="37" t="s">
        <v>563</v>
      </c>
      <c r="U10" s="116"/>
      <c r="V10" s="151"/>
      <c r="W10" s="151"/>
      <c r="X10" s="151"/>
      <c r="Y10" s="151"/>
      <c r="Z10" s="151"/>
      <c r="AA10" s="151"/>
      <c r="AB10" s="116"/>
    </row>
    <row r="11" spans="2:54" s="67" customFormat="1" ht="16" outlineLevel="1" thickBot="1" x14ac:dyDescent="0.25">
      <c r="B11" s="37" t="s">
        <v>687</v>
      </c>
      <c r="C11" s="69" t="s">
        <v>626</v>
      </c>
      <c r="D11" s="69"/>
      <c r="E11" s="69"/>
      <c r="F11" s="69"/>
      <c r="G11" s="214"/>
      <c r="U11" s="116"/>
      <c r="V11" s="151"/>
      <c r="W11" s="151"/>
      <c r="X11" s="151"/>
      <c r="Y11" s="151"/>
      <c r="Z11" s="151"/>
      <c r="AA11" s="151"/>
      <c r="AB11" s="116"/>
    </row>
    <row r="12" spans="2:54" s="214" customFormat="1" ht="16" outlineLevel="1" thickBot="1" x14ac:dyDescent="0.25">
      <c r="B12" s="37"/>
      <c r="C12" s="216" t="s">
        <v>717</v>
      </c>
      <c r="D12" s="225"/>
      <c r="E12" s="225"/>
      <c r="F12" s="225"/>
      <c r="G12" s="243" t="s">
        <v>715</v>
      </c>
      <c r="U12" s="116"/>
      <c r="V12" s="151"/>
      <c r="W12" s="151"/>
      <c r="X12" s="151"/>
      <c r="Y12" s="151"/>
      <c r="Z12" s="151"/>
      <c r="AA12" s="151"/>
      <c r="AB12" s="116"/>
    </row>
    <row r="13" spans="2:54" s="67" customFormat="1" outlineLevel="1" x14ac:dyDescent="0.2">
      <c r="B13" s="29" t="s">
        <v>686</v>
      </c>
      <c r="C13" s="196"/>
      <c r="D13" s="217"/>
      <c r="E13" s="218" t="s">
        <v>715</v>
      </c>
      <c r="F13" s="218" t="s">
        <v>714</v>
      </c>
      <c r="G13" s="226" t="s">
        <v>716</v>
      </c>
      <c r="U13" s="116"/>
      <c r="V13" s="151"/>
      <c r="W13" s="151"/>
      <c r="X13" s="151"/>
      <c r="Y13" s="151"/>
      <c r="Z13" s="151"/>
      <c r="AA13" s="151"/>
      <c r="AB13" s="116"/>
      <c r="AC13" s="197">
        <v>0</v>
      </c>
      <c r="AD13" s="197">
        <v>0</v>
      </c>
      <c r="AE13" s="197">
        <v>0</v>
      </c>
      <c r="AF13" s="197">
        <v>0</v>
      </c>
      <c r="AG13" s="197">
        <v>0.05</v>
      </c>
      <c r="AH13" s="197">
        <v>0.05</v>
      </c>
      <c r="AI13" s="197">
        <v>0.06</v>
      </c>
      <c r="AJ13" s="197">
        <v>7.0000000000000007E-2</v>
      </c>
      <c r="AK13" s="197">
        <v>0.08</v>
      </c>
      <c r="AL13" s="197">
        <v>0.09</v>
      </c>
      <c r="AM13" s="197">
        <v>0.1</v>
      </c>
      <c r="AN13" s="197">
        <v>0.11</v>
      </c>
      <c r="AO13" s="147"/>
    </row>
    <row r="14" spans="2:54" s="67" customFormat="1" outlineLevel="1" x14ac:dyDescent="0.2">
      <c r="B14" s="29" t="s" vm="1595">
        <v>610</v>
      </c>
      <c r="C14" s="215">
        <f>IF($G$12="Base",$E14,IF($G$12="S1",$F14,IF($G$12=V2,$G14)))</f>
        <v>1.8958333333333337</v>
      </c>
      <c r="D14" s="219" t="s" vm="1595">
        <v>610</v>
      </c>
      <c r="E14" s="220">
        <f>Revenue!Q31</f>
        <v>1.8958333333333337</v>
      </c>
      <c r="F14" s="221">
        <f>Revenue!K31</f>
        <v>2.8333333333333335</v>
      </c>
      <c r="G14" s="227">
        <v>3</v>
      </c>
      <c r="H14" s="4">
        <f>Revenue!C31</f>
        <v>1.8333333333333333</v>
      </c>
      <c r="I14" s="4">
        <f>Revenue!D31</f>
        <v>2.9166666666666665</v>
      </c>
      <c r="J14" s="4">
        <f>Revenue!E31</f>
        <v>2.25</v>
      </c>
      <c r="K14" s="4">
        <f>Revenue!F31</f>
        <v>2</v>
      </c>
      <c r="L14" s="4">
        <f>Revenue!G31</f>
        <v>1.0833333333333333</v>
      </c>
      <c r="M14" s="4">
        <f>Revenue!H31</f>
        <v>1.75</v>
      </c>
      <c r="N14" s="4">
        <f>Revenue!I31</f>
        <v>1.25</v>
      </c>
      <c r="O14" s="4">
        <f>Revenue!J31</f>
        <v>1.5</v>
      </c>
      <c r="P14" s="4">
        <f>Revenue!K31</f>
        <v>2.8333333333333335</v>
      </c>
      <c r="Q14" s="4">
        <f>Revenue!L31</f>
        <v>2.1666666666666665</v>
      </c>
      <c r="R14" s="4">
        <f>Revenue!M31</f>
        <v>1.4166666666666667</v>
      </c>
      <c r="S14" s="4">
        <f>Revenue!N31</f>
        <v>1.75</v>
      </c>
      <c r="T14" s="4">
        <f>AVERAGE(H14:S14)</f>
        <v>1.8958333333333337</v>
      </c>
      <c r="U14" s="116"/>
      <c r="V14" s="151"/>
      <c r="W14" s="151"/>
      <c r="X14" s="151"/>
      <c r="Y14" s="151"/>
      <c r="Z14" s="151"/>
      <c r="AA14" s="151"/>
      <c r="AB14" s="116"/>
      <c r="AC14" s="100">
        <f>$C14*(1+AC$13)</f>
        <v>1.8958333333333337</v>
      </c>
      <c r="AD14" s="100">
        <f t="shared" ref="AD14:AN14" si="0">$C14*(1+AD$13)</f>
        <v>1.8958333333333337</v>
      </c>
      <c r="AE14" s="100">
        <f t="shared" si="0"/>
        <v>1.8958333333333337</v>
      </c>
      <c r="AF14" s="100">
        <f t="shared" si="0"/>
        <v>1.8958333333333337</v>
      </c>
      <c r="AG14" s="100">
        <f t="shared" si="0"/>
        <v>1.9906250000000005</v>
      </c>
      <c r="AH14" s="100">
        <f t="shared" si="0"/>
        <v>1.9906250000000005</v>
      </c>
      <c r="AI14" s="100">
        <f t="shared" si="0"/>
        <v>2.0095833333333339</v>
      </c>
      <c r="AJ14" s="100">
        <f t="shared" si="0"/>
        <v>2.0285416666666674</v>
      </c>
      <c r="AK14" s="100">
        <f t="shared" si="0"/>
        <v>2.0475000000000003</v>
      </c>
      <c r="AL14" s="100">
        <f t="shared" si="0"/>
        <v>2.0664583333333337</v>
      </c>
      <c r="AM14" s="100">
        <f t="shared" si="0"/>
        <v>2.0854166666666671</v>
      </c>
      <c r="AN14" s="100">
        <f t="shared" si="0"/>
        <v>2.1043750000000006</v>
      </c>
      <c r="AO14" s="147"/>
    </row>
    <row r="15" spans="2:54" s="67" customFormat="1" outlineLevel="1" x14ac:dyDescent="0.2">
      <c r="B15" s="29" t="s" vm="1594">
        <v>611</v>
      </c>
      <c r="C15" s="215">
        <f>IF($G$12="Base",$E15,IF($G$12="S1",$F15,IF($G$12=V3,$G15)))</f>
        <v>1.0902777777777779</v>
      </c>
      <c r="D15" s="219" t="s" vm="1594">
        <v>611</v>
      </c>
      <c r="E15" s="220">
        <f>Revenue!Q32</f>
        <v>1.0902777777777779</v>
      </c>
      <c r="F15" s="221">
        <f>Revenue!K32</f>
        <v>0.83333333333333337</v>
      </c>
      <c r="G15" s="227">
        <v>1</v>
      </c>
      <c r="H15" s="4">
        <f>Revenue!C32</f>
        <v>0.66666666666666663</v>
      </c>
      <c r="I15" s="4">
        <f>Revenue!D32</f>
        <v>0.66666666666666663</v>
      </c>
      <c r="J15" s="4">
        <f>Revenue!E32</f>
        <v>0.91666666666666663</v>
      </c>
      <c r="K15" s="4">
        <f>Revenue!F32</f>
        <v>1.6666666666666667</v>
      </c>
      <c r="L15" s="4">
        <f>Revenue!G32</f>
        <v>1.1666666666666667</v>
      </c>
      <c r="M15" s="4">
        <f>Revenue!H32</f>
        <v>1.3333333333333333</v>
      </c>
      <c r="N15" s="4">
        <f>Revenue!I32</f>
        <v>0.75</v>
      </c>
      <c r="O15" s="4">
        <f>Revenue!J32</f>
        <v>1</v>
      </c>
      <c r="P15" s="4">
        <f>Revenue!K32</f>
        <v>0.83333333333333337</v>
      </c>
      <c r="Q15" s="4">
        <f>Revenue!L32</f>
        <v>1.6666666666666667</v>
      </c>
      <c r="R15" s="4">
        <f>Revenue!M32</f>
        <v>1.5</v>
      </c>
      <c r="S15" s="4">
        <f>Revenue!N32</f>
        <v>0.91666666666666663</v>
      </c>
      <c r="T15" s="4">
        <f>AVERAGE(H15:S15)</f>
        <v>1.0902777777777779</v>
      </c>
      <c r="U15" s="116"/>
      <c r="V15" s="151"/>
      <c r="W15" s="151"/>
      <c r="X15" s="151"/>
      <c r="Y15" s="151"/>
      <c r="Z15" s="151"/>
      <c r="AA15" s="151"/>
      <c r="AB15" s="116"/>
      <c r="AC15" s="100">
        <f t="shared" ref="AC15:AN17" si="1">$C15*(1+AC$13)</f>
        <v>1.0902777777777779</v>
      </c>
      <c r="AD15" s="100">
        <f t="shared" si="1"/>
        <v>1.0902777777777779</v>
      </c>
      <c r="AE15" s="100">
        <f t="shared" si="1"/>
        <v>1.0902777777777779</v>
      </c>
      <c r="AF15" s="100">
        <f t="shared" si="1"/>
        <v>1.0902777777777779</v>
      </c>
      <c r="AG15" s="100">
        <f t="shared" si="1"/>
        <v>1.1447916666666669</v>
      </c>
      <c r="AH15" s="100">
        <f t="shared" si="1"/>
        <v>1.1447916666666669</v>
      </c>
      <c r="AI15" s="100">
        <f t="shared" si="1"/>
        <v>1.1556944444444446</v>
      </c>
      <c r="AJ15" s="100">
        <f t="shared" si="1"/>
        <v>1.1665972222222225</v>
      </c>
      <c r="AK15" s="100">
        <f t="shared" si="1"/>
        <v>1.1775000000000002</v>
      </c>
      <c r="AL15" s="100">
        <f t="shared" si="1"/>
        <v>1.1884027777777779</v>
      </c>
      <c r="AM15" s="100">
        <f t="shared" si="1"/>
        <v>1.1993055555555558</v>
      </c>
      <c r="AN15" s="100">
        <f t="shared" si="1"/>
        <v>1.2102083333333336</v>
      </c>
      <c r="AO15" s="147"/>
    </row>
    <row r="16" spans="2:54" s="67" customFormat="1" outlineLevel="1" x14ac:dyDescent="0.2">
      <c r="B16" s="29" t="s" vm="1598">
        <v>612</v>
      </c>
      <c r="C16" s="215">
        <f>IF($G$12="Base",$E16,IF($G$12="S1",$F16,IF($G$12=V4,$G16)))</f>
        <v>0.54166666666666663</v>
      </c>
      <c r="D16" s="219" t="s" vm="1598">
        <v>612</v>
      </c>
      <c r="E16" s="220">
        <f>Revenue!Q33</f>
        <v>0.54166666666666663</v>
      </c>
      <c r="F16" s="221">
        <f>Revenue!K33</f>
        <v>0.75</v>
      </c>
      <c r="G16" s="227">
        <v>1</v>
      </c>
      <c r="H16" s="4">
        <f>Revenue!C33</f>
        <v>0.5</v>
      </c>
      <c r="I16" s="4">
        <f>Revenue!D33</f>
        <v>8.3333333333333329E-2</v>
      </c>
      <c r="J16" s="4">
        <f>Revenue!E33</f>
        <v>0.25</v>
      </c>
      <c r="K16" s="4">
        <f>Revenue!F33</f>
        <v>0.33333333333333331</v>
      </c>
      <c r="L16" s="4">
        <f>Revenue!G33</f>
        <v>1</v>
      </c>
      <c r="M16" s="4">
        <f>Revenue!H33</f>
        <v>0.91666666666666663</v>
      </c>
      <c r="N16" s="4">
        <f>Revenue!I33</f>
        <v>0.66666666666666663</v>
      </c>
      <c r="O16" s="4">
        <f>Revenue!J33</f>
        <v>0.25</v>
      </c>
      <c r="P16" s="4">
        <f>Revenue!K33</f>
        <v>0.75</v>
      </c>
      <c r="Q16" s="4">
        <f>Revenue!L33</f>
        <v>0.58333333333333337</v>
      </c>
      <c r="R16" s="4">
        <f>Revenue!M33</f>
        <v>0.66666666666666663</v>
      </c>
      <c r="S16" s="4">
        <f>Revenue!N33</f>
        <v>0.5</v>
      </c>
      <c r="T16" s="4">
        <f>AVERAGE(H16:S16)</f>
        <v>0.54166666666666663</v>
      </c>
      <c r="U16" s="116"/>
      <c r="V16" s="151"/>
      <c r="W16" s="151"/>
      <c r="X16" s="151"/>
      <c r="Y16" s="151"/>
      <c r="Z16" s="151"/>
      <c r="AA16" s="151"/>
      <c r="AB16" s="116"/>
      <c r="AC16" s="100">
        <f t="shared" si="1"/>
        <v>0.54166666666666663</v>
      </c>
      <c r="AD16" s="100">
        <f t="shared" si="1"/>
        <v>0.54166666666666663</v>
      </c>
      <c r="AE16" s="100">
        <f t="shared" si="1"/>
        <v>0.54166666666666663</v>
      </c>
      <c r="AF16" s="100">
        <f t="shared" si="1"/>
        <v>0.54166666666666663</v>
      </c>
      <c r="AG16" s="100">
        <f t="shared" si="1"/>
        <v>0.56874999999999998</v>
      </c>
      <c r="AH16" s="100">
        <f t="shared" si="1"/>
        <v>0.56874999999999998</v>
      </c>
      <c r="AI16" s="100">
        <f t="shared" si="1"/>
        <v>0.5741666666666666</v>
      </c>
      <c r="AJ16" s="100">
        <f t="shared" si="1"/>
        <v>0.57958333333333334</v>
      </c>
      <c r="AK16" s="100">
        <f t="shared" si="1"/>
        <v>0.58499999999999996</v>
      </c>
      <c r="AL16" s="100">
        <f t="shared" si="1"/>
        <v>0.5904166666666667</v>
      </c>
      <c r="AM16" s="100">
        <f t="shared" si="1"/>
        <v>0.59583333333333333</v>
      </c>
      <c r="AN16" s="100">
        <f t="shared" si="1"/>
        <v>0.60125000000000006</v>
      </c>
      <c r="AO16" s="147"/>
    </row>
    <row r="17" spans="2:41" s="67" customFormat="1" ht="16" outlineLevel="1" thickBot="1" x14ac:dyDescent="0.25">
      <c r="B17" s="87" t="s" vm="1596">
        <v>613</v>
      </c>
      <c r="C17" s="62">
        <f>IF($G$12="Base",$E17,IF($G$12="S1",$F17,IF($G$12=V5,$G17)))</f>
        <v>0.12499999999999999</v>
      </c>
      <c r="D17" s="222" t="s" vm="1596">
        <v>613</v>
      </c>
      <c r="E17" s="223">
        <f>Revenue!Q34</f>
        <v>0.12499999999999999</v>
      </c>
      <c r="F17" s="224">
        <f>Revenue!K34</f>
        <v>0.33333333333333331</v>
      </c>
      <c r="G17" s="228">
        <v>1</v>
      </c>
      <c r="H17" s="62">
        <f>Revenue!C34</f>
        <v>8.3333333333333329E-2</v>
      </c>
      <c r="I17" s="62">
        <f>Revenue!D34</f>
        <v>8.3333333333333329E-2</v>
      </c>
      <c r="J17" s="62">
        <f>Revenue!E34</f>
        <v>0</v>
      </c>
      <c r="K17" s="62">
        <f>Revenue!F34</f>
        <v>0.16666666666666666</v>
      </c>
      <c r="L17" s="62">
        <f>Revenue!G34</f>
        <v>0</v>
      </c>
      <c r="M17" s="62">
        <f>Revenue!H34</f>
        <v>0.16666666666666666</v>
      </c>
      <c r="N17" s="62">
        <f>Revenue!I34</f>
        <v>0.25</v>
      </c>
      <c r="O17" s="62">
        <f>Revenue!J34</f>
        <v>0.25</v>
      </c>
      <c r="P17" s="62">
        <f>Revenue!K34</f>
        <v>0.33333333333333331</v>
      </c>
      <c r="Q17" s="62">
        <f>Revenue!L34</f>
        <v>0</v>
      </c>
      <c r="R17" s="62">
        <f>Revenue!M34</f>
        <v>8.3333333333333329E-2</v>
      </c>
      <c r="S17" s="62">
        <f>Revenue!N34</f>
        <v>8.3333333333333329E-2</v>
      </c>
      <c r="T17" s="62">
        <f>AVERAGE(H17:S17)</f>
        <v>0.12499999999999999</v>
      </c>
      <c r="U17" s="116"/>
      <c r="V17" s="151"/>
      <c r="W17" s="151"/>
      <c r="X17" s="151"/>
      <c r="Y17" s="151"/>
      <c r="Z17" s="151"/>
      <c r="AA17" s="151"/>
      <c r="AB17" s="116"/>
      <c r="AC17" s="101">
        <f t="shared" si="1"/>
        <v>0.12499999999999999</v>
      </c>
      <c r="AD17" s="101">
        <f t="shared" si="1"/>
        <v>0.12499999999999999</v>
      </c>
      <c r="AE17" s="101">
        <f t="shared" si="1"/>
        <v>0.12499999999999999</v>
      </c>
      <c r="AF17" s="101">
        <f t="shared" si="1"/>
        <v>0.12499999999999999</v>
      </c>
      <c r="AG17" s="101">
        <f t="shared" si="1"/>
        <v>0.13124999999999998</v>
      </c>
      <c r="AH17" s="101">
        <f t="shared" si="1"/>
        <v>0.13124999999999998</v>
      </c>
      <c r="AI17" s="101">
        <f t="shared" si="1"/>
        <v>0.13249999999999998</v>
      </c>
      <c r="AJ17" s="101">
        <f t="shared" si="1"/>
        <v>0.13374999999999998</v>
      </c>
      <c r="AK17" s="101">
        <f t="shared" si="1"/>
        <v>0.13499999999999998</v>
      </c>
      <c r="AL17" s="101">
        <f t="shared" si="1"/>
        <v>0.13624999999999998</v>
      </c>
      <c r="AM17" s="101">
        <f t="shared" si="1"/>
        <v>0.13749999999999998</v>
      </c>
      <c r="AN17" s="101">
        <f t="shared" si="1"/>
        <v>0.13874999999999998</v>
      </c>
      <c r="AO17" s="147"/>
    </row>
    <row r="18" spans="2:41" s="67" customFormat="1" x14ac:dyDescent="0.2">
      <c r="B18" s="29" t="s">
        <v>625</v>
      </c>
      <c r="C18" s="89">
        <f>SUM(C14:C17)</f>
        <v>3.6527777777777781</v>
      </c>
      <c r="H18" s="4">
        <f>SUM(H14:H17)</f>
        <v>3.0833333333333335</v>
      </c>
      <c r="I18" s="4">
        <f t="shared" ref="I18:S18" si="2">SUM(I14:I17)</f>
        <v>3.75</v>
      </c>
      <c r="J18" s="4">
        <f t="shared" si="2"/>
        <v>3.4166666666666665</v>
      </c>
      <c r="K18" s="4">
        <f t="shared" si="2"/>
        <v>4.166666666666667</v>
      </c>
      <c r="L18" s="4">
        <f t="shared" si="2"/>
        <v>3.25</v>
      </c>
      <c r="M18" s="4">
        <f t="shared" si="2"/>
        <v>4.1666666666666661</v>
      </c>
      <c r="N18" s="4">
        <f t="shared" si="2"/>
        <v>2.9166666666666665</v>
      </c>
      <c r="O18" s="4">
        <f t="shared" si="2"/>
        <v>3</v>
      </c>
      <c r="P18" s="4">
        <f t="shared" si="2"/>
        <v>4.75</v>
      </c>
      <c r="Q18" s="4">
        <f t="shared" si="2"/>
        <v>4.4166666666666661</v>
      </c>
      <c r="R18" s="4">
        <f t="shared" si="2"/>
        <v>3.666666666666667</v>
      </c>
      <c r="S18" s="4">
        <f t="shared" si="2"/>
        <v>3.25</v>
      </c>
      <c r="T18" s="4">
        <f>AVERAGE(H18:S18)</f>
        <v>3.6527777777777772</v>
      </c>
      <c r="U18" s="116"/>
      <c r="V18" s="151"/>
      <c r="W18" s="151"/>
      <c r="X18" s="151"/>
      <c r="Y18" s="151"/>
      <c r="Z18" s="151"/>
      <c r="AA18" s="151"/>
      <c r="AB18" s="116"/>
      <c r="AC18" s="102">
        <f>SUM(AC14:AC17)</f>
        <v>3.6527777777777781</v>
      </c>
      <c r="AD18" s="102">
        <f t="shared" ref="AD18:AN18" si="3">SUM(AD14:AD17)</f>
        <v>3.6527777777777781</v>
      </c>
      <c r="AE18" s="102">
        <f t="shared" si="3"/>
        <v>3.6527777777777781</v>
      </c>
      <c r="AF18" s="102">
        <f t="shared" si="3"/>
        <v>3.6527777777777781</v>
      </c>
      <c r="AG18" s="102">
        <f t="shared" si="3"/>
        <v>3.8354166666666676</v>
      </c>
      <c r="AH18" s="102">
        <f t="shared" si="3"/>
        <v>3.8354166666666676</v>
      </c>
      <c r="AI18" s="102">
        <f t="shared" si="3"/>
        <v>3.8719444444444453</v>
      </c>
      <c r="AJ18" s="102">
        <f t="shared" si="3"/>
        <v>3.908472222222223</v>
      </c>
      <c r="AK18" s="102">
        <f t="shared" si="3"/>
        <v>3.9450000000000003</v>
      </c>
      <c r="AL18" s="102">
        <f t="shared" si="3"/>
        <v>3.981527777777778</v>
      </c>
      <c r="AM18" s="102">
        <f t="shared" si="3"/>
        <v>4.0180555555555566</v>
      </c>
      <c r="AN18" s="102">
        <f t="shared" si="3"/>
        <v>4.0545833333333343</v>
      </c>
      <c r="AO18" s="147"/>
    </row>
    <row r="19" spans="2:41" s="67" customFormat="1" outlineLevel="1" x14ac:dyDescent="0.2">
      <c r="B19" s="29"/>
      <c r="C19" s="89"/>
      <c r="D19" s="89"/>
      <c r="E19" s="89"/>
      <c r="F19" s="89"/>
      <c r="G19" s="89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116"/>
      <c r="V19" s="151"/>
      <c r="W19" s="151"/>
      <c r="X19" s="151"/>
      <c r="Y19" s="151"/>
      <c r="Z19" s="151"/>
      <c r="AA19" s="151"/>
      <c r="AB19" s="116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  <c r="AN19" s="102"/>
      <c r="AO19" s="147"/>
    </row>
    <row r="20" spans="2:41" s="67" customFormat="1" ht="5.25" customHeight="1" outlineLevel="2" x14ac:dyDescent="0.2">
      <c r="B20" s="29"/>
      <c r="C20" s="29"/>
      <c r="D20" s="29"/>
      <c r="E20" s="29"/>
      <c r="F20" s="29"/>
      <c r="G20" s="29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116"/>
      <c r="V20" s="151"/>
      <c r="W20" s="151"/>
      <c r="X20" s="151"/>
      <c r="Y20" s="151"/>
      <c r="Z20" s="151"/>
      <c r="AA20" s="151"/>
      <c r="AB20" s="116"/>
    </row>
    <row r="21" spans="2:41" outlineLevel="2" x14ac:dyDescent="0.2">
      <c r="B21" s="17" t="s">
        <v>575</v>
      </c>
      <c r="C21" s="68">
        <f>AVERAGE(H21:S21)</f>
        <v>43.833333333333336</v>
      </c>
      <c r="D21" s="68"/>
      <c r="E21" s="68"/>
      <c r="F21" s="68"/>
      <c r="G21" s="68"/>
      <c r="H21" s="23">
        <f>COUNTIF('Raw Sales Data'!$E:$E,Model!H8)</f>
        <v>37</v>
      </c>
      <c r="I21" s="23">
        <f>COUNTIF('Raw Sales Data'!$E:$E,Model!I8)</f>
        <v>45</v>
      </c>
      <c r="J21" s="23">
        <f>COUNTIF('Raw Sales Data'!$E:$E,Model!J8)</f>
        <v>41</v>
      </c>
      <c r="K21" s="23">
        <f>COUNTIF('Raw Sales Data'!$E:$E,Model!K8)</f>
        <v>50</v>
      </c>
      <c r="L21" s="23">
        <f>COUNTIF('Raw Sales Data'!$E:$E,Model!L8)</f>
        <v>39</v>
      </c>
      <c r="M21" s="23">
        <f>COUNTIF('Raw Sales Data'!$E:$E,Model!M8)</f>
        <v>50</v>
      </c>
      <c r="N21" s="23">
        <f>COUNTIF('Raw Sales Data'!$E:$E,Model!N8)</f>
        <v>35</v>
      </c>
      <c r="O21" s="23">
        <f>COUNTIF('Raw Sales Data'!$E:$E,Model!O8)</f>
        <v>36</v>
      </c>
      <c r="P21" s="23">
        <f>COUNTIF('Raw Sales Data'!$E:$E,Model!P8)</f>
        <v>57</v>
      </c>
      <c r="Q21" s="23">
        <f>COUNTIF('Raw Sales Data'!$E:$E,Model!Q8)</f>
        <v>53</v>
      </c>
      <c r="R21" s="23">
        <f>COUNTIF('Raw Sales Data'!$E:$E,Model!R8)</f>
        <v>44</v>
      </c>
      <c r="S21" s="23">
        <f>COUNTIF('Raw Sales Data'!$E:$E,Model!S8)</f>
        <v>39</v>
      </c>
      <c r="U21" s="116"/>
      <c r="V21" s="151"/>
      <c r="W21" s="151"/>
      <c r="X21" s="151"/>
      <c r="Y21" s="151"/>
      <c r="Z21" s="151"/>
      <c r="AA21" s="151"/>
      <c r="AB21" s="116"/>
      <c r="AC21" s="3">
        <f>AC18*AC53</f>
        <v>3.6162500000000004</v>
      </c>
      <c r="AD21" s="3">
        <f t="shared" ref="AD21:AN21" si="4">AD18*AD53</f>
        <v>10.958333333333334</v>
      </c>
      <c r="AE21" s="3">
        <f>AE18*AE53</f>
        <v>21.916666666666668</v>
      </c>
      <c r="AF21" s="3">
        <f t="shared" si="4"/>
        <v>30.464166666666667</v>
      </c>
      <c r="AG21" s="3">
        <f t="shared" si="4"/>
        <v>38.354166666666679</v>
      </c>
      <c r="AH21" s="3">
        <f t="shared" si="4"/>
        <v>42.189583333333346</v>
      </c>
      <c r="AI21" s="3">
        <f t="shared" si="4"/>
        <v>46.463333333333345</v>
      </c>
      <c r="AJ21" s="3">
        <f t="shared" si="4"/>
        <v>50.810138888888901</v>
      </c>
      <c r="AK21" s="3">
        <f t="shared" si="4"/>
        <v>55.230000000000004</v>
      </c>
      <c r="AL21" s="3">
        <f t="shared" si="4"/>
        <v>59.72291666666667</v>
      </c>
      <c r="AM21" s="3">
        <f t="shared" si="4"/>
        <v>64.288888888888906</v>
      </c>
      <c r="AN21" s="3">
        <f t="shared" si="4"/>
        <v>68.92791666666669</v>
      </c>
      <c r="AO21" s="3">
        <f>SUM(AC21:AN21)</f>
        <v>492.94236111111115</v>
      </c>
    </row>
    <row r="22" spans="2:41" s="29" customFormat="1" outlineLevel="2" x14ac:dyDescent="0.2">
      <c r="B22" s="29" t="s">
        <v>577</v>
      </c>
      <c r="C22" s="191"/>
      <c r="D22" s="191"/>
      <c r="E22" s="191"/>
      <c r="F22" s="191"/>
      <c r="G22" s="191"/>
      <c r="H22" s="34"/>
      <c r="I22" s="32">
        <f>(I21-H21)/H21</f>
        <v>0.21621621621621623</v>
      </c>
      <c r="J22" s="32">
        <f t="shared" ref="J22:S22" si="5">(J21-I21)/I21</f>
        <v>-8.8888888888888892E-2</v>
      </c>
      <c r="K22" s="32">
        <f t="shared" si="5"/>
        <v>0.21951219512195122</v>
      </c>
      <c r="L22" s="32">
        <f t="shared" si="5"/>
        <v>-0.22</v>
      </c>
      <c r="M22" s="32">
        <f t="shared" si="5"/>
        <v>0.28205128205128205</v>
      </c>
      <c r="N22" s="32">
        <f t="shared" si="5"/>
        <v>-0.3</v>
      </c>
      <c r="O22" s="32">
        <f t="shared" si="5"/>
        <v>2.8571428571428571E-2</v>
      </c>
      <c r="P22" s="32">
        <f t="shared" si="5"/>
        <v>0.58333333333333337</v>
      </c>
      <c r="Q22" s="32">
        <f t="shared" si="5"/>
        <v>-7.0175438596491224E-2</v>
      </c>
      <c r="R22" s="32">
        <f t="shared" si="5"/>
        <v>-0.16981132075471697</v>
      </c>
      <c r="S22" s="32">
        <f t="shared" si="5"/>
        <v>-0.11363636363636363</v>
      </c>
      <c r="T22" s="32"/>
      <c r="U22" s="162"/>
      <c r="V22" s="153"/>
      <c r="W22" s="153"/>
      <c r="X22" s="153"/>
      <c r="Y22" s="153"/>
      <c r="Z22" s="153"/>
      <c r="AA22" s="153"/>
      <c r="AB22" s="162"/>
      <c r="AD22" s="32">
        <f t="shared" ref="AD22" si="6">(AD21-AC21)/AC21</f>
        <v>2.0303030303030298</v>
      </c>
      <c r="AE22" s="32">
        <f t="shared" ref="AE22" si="7">(AE21-AD21)/AD21</f>
        <v>1</v>
      </c>
      <c r="AF22" s="32">
        <f t="shared" ref="AF22" si="8">(AF21-AE21)/AE21</f>
        <v>0.38999999999999996</v>
      </c>
      <c r="AG22" s="32">
        <f t="shared" ref="AG22" si="9">(AG21-AF21)/AF21</f>
        <v>0.25899280575539607</v>
      </c>
      <c r="AH22" s="32">
        <f t="shared" ref="AH22" si="10">(AH21-AG21)/AG21</f>
        <v>9.9999999999999978E-2</v>
      </c>
      <c r="AI22" s="32">
        <f t="shared" ref="AI22" si="11">(AI21-AH21)/AH21</f>
        <v>0.10129870129870126</v>
      </c>
      <c r="AJ22" s="32">
        <f t="shared" ref="AJ22" si="12">(AJ21-AI21)/AI21</f>
        <v>9.3553459119496821E-2</v>
      </c>
      <c r="AK22" s="32">
        <f t="shared" ref="AK22" si="13">(AK21-AJ21)/AJ21</f>
        <v>8.6987778576563451E-2</v>
      </c>
      <c r="AL22" s="32">
        <f t="shared" ref="AL22" si="14">(AL21-AK21)/AK21</f>
        <v>8.1349206349206338E-2</v>
      </c>
      <c r="AM22" s="32">
        <f t="shared" ref="AM22" si="15">(AM21-AL21)/AL21</f>
        <v>7.6452599388379422E-2</v>
      </c>
      <c r="AN22" s="32">
        <f t="shared" ref="AN22" si="16">(AN21-AM21)/AM21</f>
        <v>7.2159090909090992E-2</v>
      </c>
    </row>
    <row r="23" spans="2:41" outlineLevel="2" x14ac:dyDescent="0.2">
      <c r="B23" s="17" t="s">
        <v>624</v>
      </c>
      <c r="C23" s="51">
        <f>AVERAGE(H23:S23)</f>
        <v>280.41666666666669</v>
      </c>
      <c r="D23" s="51"/>
      <c r="E23" s="51"/>
      <c r="F23" s="51"/>
      <c r="G23" s="51"/>
      <c r="H23" s="23">
        <f>H21</f>
        <v>37</v>
      </c>
      <c r="I23" s="23">
        <f t="shared" ref="I23:S23" si="17">I21+H23</f>
        <v>82</v>
      </c>
      <c r="J23" s="23">
        <f t="shared" si="17"/>
        <v>123</v>
      </c>
      <c r="K23" s="23">
        <f t="shared" si="17"/>
        <v>173</v>
      </c>
      <c r="L23" s="23">
        <f t="shared" si="17"/>
        <v>212</v>
      </c>
      <c r="M23" s="23">
        <f t="shared" si="17"/>
        <v>262</v>
      </c>
      <c r="N23" s="23">
        <f t="shared" si="17"/>
        <v>297</v>
      </c>
      <c r="O23" s="23">
        <f t="shared" si="17"/>
        <v>333</v>
      </c>
      <c r="P23" s="23">
        <f t="shared" si="17"/>
        <v>390</v>
      </c>
      <c r="Q23" s="23">
        <f t="shared" si="17"/>
        <v>443</v>
      </c>
      <c r="R23" s="23">
        <f t="shared" si="17"/>
        <v>487</v>
      </c>
      <c r="S23" s="23">
        <f t="shared" si="17"/>
        <v>526</v>
      </c>
      <c r="U23" s="116"/>
      <c r="V23" s="151"/>
      <c r="W23" s="151"/>
      <c r="X23" s="151"/>
      <c r="Y23" s="151"/>
      <c r="Z23" s="151"/>
      <c r="AA23" s="151"/>
      <c r="AB23" s="116"/>
      <c r="AC23" s="3">
        <f>AC21</f>
        <v>3.6162500000000004</v>
      </c>
      <c r="AD23" s="3">
        <f>AC23+AD21</f>
        <v>14.574583333333335</v>
      </c>
      <c r="AE23" s="3">
        <f t="shared" ref="AE23:AN23" si="18">AD23+AE21</f>
        <v>36.491250000000001</v>
      </c>
      <c r="AF23" s="3">
        <f t="shared" si="18"/>
        <v>66.955416666666665</v>
      </c>
      <c r="AG23" s="3">
        <f t="shared" si="18"/>
        <v>105.30958333333334</v>
      </c>
      <c r="AH23" s="3">
        <f t="shared" si="18"/>
        <v>147.49916666666667</v>
      </c>
      <c r="AI23" s="3">
        <f t="shared" si="18"/>
        <v>193.96250000000001</v>
      </c>
      <c r="AJ23" s="3">
        <f t="shared" si="18"/>
        <v>244.77263888888891</v>
      </c>
      <c r="AK23" s="3">
        <f t="shared" si="18"/>
        <v>300.0026388888889</v>
      </c>
      <c r="AL23" s="3">
        <f t="shared" si="18"/>
        <v>359.72555555555556</v>
      </c>
      <c r="AM23" s="3">
        <f t="shared" si="18"/>
        <v>424.01444444444445</v>
      </c>
      <c r="AN23" s="3">
        <f t="shared" si="18"/>
        <v>492.94236111111115</v>
      </c>
      <c r="AO23" s="3">
        <f>AN23</f>
        <v>492.94236111111115</v>
      </c>
    </row>
    <row r="24" spans="2:41" s="29" customFormat="1" outlineLevel="2" x14ac:dyDescent="0.2">
      <c r="B24" s="29" t="s">
        <v>577</v>
      </c>
      <c r="C24" s="190"/>
      <c r="D24" s="190"/>
      <c r="E24" s="190"/>
      <c r="F24" s="190"/>
      <c r="G24" s="190"/>
      <c r="H24" s="34"/>
      <c r="I24" s="32">
        <f t="shared" ref="I24:S24" si="19">(I23-H23)/H23</f>
        <v>1.2162162162162162</v>
      </c>
      <c r="J24" s="32">
        <f t="shared" si="19"/>
        <v>0.5</v>
      </c>
      <c r="K24" s="32">
        <f t="shared" si="19"/>
        <v>0.4065040650406504</v>
      </c>
      <c r="L24" s="32">
        <f t="shared" si="19"/>
        <v>0.22543352601156069</v>
      </c>
      <c r="M24" s="32">
        <f t="shared" si="19"/>
        <v>0.23584905660377359</v>
      </c>
      <c r="N24" s="32">
        <f t="shared" si="19"/>
        <v>0.13358778625954199</v>
      </c>
      <c r="O24" s="32">
        <f t="shared" si="19"/>
        <v>0.12121212121212122</v>
      </c>
      <c r="P24" s="32">
        <f t="shared" si="19"/>
        <v>0.17117117117117117</v>
      </c>
      <c r="Q24" s="32">
        <f t="shared" si="19"/>
        <v>0.13589743589743589</v>
      </c>
      <c r="R24" s="32">
        <f t="shared" si="19"/>
        <v>9.9322799097065456E-2</v>
      </c>
      <c r="S24" s="32">
        <f t="shared" si="19"/>
        <v>8.0082135523613956E-2</v>
      </c>
      <c r="T24" s="32"/>
      <c r="U24" s="162"/>
      <c r="V24" s="154"/>
      <c r="W24" s="153"/>
      <c r="X24" s="153"/>
      <c r="Y24" s="153"/>
      <c r="Z24" s="153"/>
      <c r="AA24" s="153"/>
      <c r="AB24" s="162"/>
      <c r="AD24" s="32">
        <f>(AD23-AC23)/AC23</f>
        <v>3.0303030303030303</v>
      </c>
      <c r="AE24" s="32">
        <f t="shared" ref="AE24:AN24" si="20">(AE23-AD23)/AD23</f>
        <v>1.5037593984962403</v>
      </c>
      <c r="AF24" s="32">
        <f t="shared" si="20"/>
        <v>0.83483483483483478</v>
      </c>
      <c r="AG24" s="32">
        <f t="shared" si="20"/>
        <v>0.57283142389525377</v>
      </c>
      <c r="AH24" s="32">
        <f t="shared" si="20"/>
        <v>0.40062434963579602</v>
      </c>
      <c r="AI24" s="32">
        <f t="shared" si="20"/>
        <v>0.31500742942050525</v>
      </c>
      <c r="AJ24" s="32">
        <f t="shared" si="20"/>
        <v>0.26195856873822981</v>
      </c>
      <c r="AK24" s="32">
        <f t="shared" si="20"/>
        <v>0.22563796448291293</v>
      </c>
      <c r="AL24" s="32">
        <f t="shared" si="20"/>
        <v>0.19907463776938997</v>
      </c>
      <c r="AM24" s="32">
        <f t="shared" si="20"/>
        <v>0.17871649065800163</v>
      </c>
      <c r="AN24" s="32">
        <f t="shared" si="20"/>
        <v>0.1625603032391455</v>
      </c>
    </row>
    <row r="25" spans="2:41" s="29" customFormat="1" ht="9.25" customHeight="1" outlineLevel="1" x14ac:dyDescent="0.2"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162"/>
      <c r="V25" s="153"/>
      <c r="W25" s="153"/>
      <c r="X25" s="153"/>
      <c r="Y25" s="153"/>
      <c r="Z25" s="153"/>
      <c r="AA25" s="153"/>
      <c r="AB25" s="162"/>
    </row>
    <row r="26" spans="2:41" s="29" customFormat="1" ht="16" outlineLevel="2" thickBot="1" x14ac:dyDescent="0.25">
      <c r="B26" s="90" t="s">
        <v>655</v>
      </c>
      <c r="C26" s="69" t="s">
        <v>626</v>
      </c>
      <c r="D26" s="69"/>
      <c r="E26" s="69"/>
      <c r="F26" s="69"/>
      <c r="G26" s="69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162"/>
      <c r="V26" s="153"/>
      <c r="W26" s="153"/>
      <c r="X26" s="153"/>
      <c r="Y26" s="153"/>
      <c r="Z26" s="153"/>
      <c r="AA26" s="153"/>
      <c r="AB26" s="162"/>
    </row>
    <row r="27" spans="2:41" s="29" customFormat="1" ht="16" outlineLevel="2" thickBot="1" x14ac:dyDescent="0.25">
      <c r="B27" s="90"/>
      <c r="C27" s="216" t="s">
        <v>717</v>
      </c>
      <c r="D27" s="225"/>
      <c r="E27" s="225"/>
      <c r="F27" s="234">
        <v>43586</v>
      </c>
      <c r="G27" s="243" t="s">
        <v>715</v>
      </c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162"/>
      <c r="V27" s="153"/>
      <c r="W27" s="153"/>
      <c r="X27" s="153"/>
      <c r="Y27" s="153"/>
      <c r="Z27" s="153"/>
      <c r="AA27" s="153"/>
      <c r="AB27" s="162"/>
    </row>
    <row r="28" spans="2:41" s="29" customFormat="1" outlineLevel="2" x14ac:dyDescent="0.2">
      <c r="B28" s="90"/>
      <c r="E28" s="229" t="s">
        <v>715</v>
      </c>
      <c r="F28" s="229" t="s">
        <v>719</v>
      </c>
      <c r="G28" s="226" t="s">
        <v>720</v>
      </c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162"/>
      <c r="V28" s="153"/>
      <c r="W28" s="153"/>
      <c r="X28" s="153"/>
      <c r="Y28" s="153"/>
      <c r="Z28" s="153"/>
      <c r="AA28" s="153"/>
      <c r="AB28" s="162"/>
    </row>
    <row r="29" spans="2:41" s="29" customFormat="1" outlineLevel="2" x14ac:dyDescent="0.2">
      <c r="B29" s="36" t="s" vm="1595">
        <v>610</v>
      </c>
      <c r="C29" s="230">
        <f>IF($G$27="Base",$E29,IF($G$27=$F$28,$F29,IF($G$27=$G$28,$G29)))</f>
        <v>2599.3461083883267</v>
      </c>
      <c r="D29" s="219" t="s" vm="1595">
        <v>610</v>
      </c>
      <c r="E29" s="230">
        <f>Revenue!Q22</f>
        <v>2599.3461083883267</v>
      </c>
      <c r="F29" s="230">
        <f>Revenue!M22</f>
        <v>2032.164705882353</v>
      </c>
      <c r="G29" s="171">
        <v>3000</v>
      </c>
      <c r="H29" s="84">
        <f>Revenue!C22</f>
        <v>2488.14</v>
      </c>
      <c r="I29" s="84">
        <f>Revenue!D22</f>
        <v>2758.3028571428572</v>
      </c>
      <c r="J29" s="84">
        <f>Revenue!E22</f>
        <v>2438.6444444444442</v>
      </c>
      <c r="K29" s="84">
        <f>Revenue!F22</f>
        <v>2545.5223333333333</v>
      </c>
      <c r="L29" s="84">
        <f>Revenue!G22</f>
        <v>2584.7202461538463</v>
      </c>
      <c r="M29" s="84">
        <f>Revenue!H22</f>
        <v>2785.5985714285716</v>
      </c>
      <c r="N29" s="84">
        <f>Revenue!I22</f>
        <v>3212.7617999999998</v>
      </c>
      <c r="O29" s="84">
        <f>Revenue!J22</f>
        <v>2521.8359733333327</v>
      </c>
      <c r="P29" s="84">
        <f>Revenue!K22</f>
        <v>2572.5171529411768</v>
      </c>
      <c r="Q29" s="84">
        <f>Revenue!L22</f>
        <v>2300.0783999999999</v>
      </c>
      <c r="R29" s="84">
        <f>Revenue!M22</f>
        <v>2032.164705882353</v>
      </c>
      <c r="S29" s="84">
        <f>Revenue!N22</f>
        <v>2951.8668159999997</v>
      </c>
      <c r="T29" s="84"/>
      <c r="U29" s="162"/>
      <c r="V29" s="153"/>
      <c r="W29" s="153"/>
      <c r="X29" s="153"/>
      <c r="Y29" s="153"/>
      <c r="Z29" s="153"/>
      <c r="AA29" s="153"/>
      <c r="AB29" s="162"/>
      <c r="AC29" s="85">
        <f>$C29</f>
        <v>2599.3461083883267</v>
      </c>
      <c r="AD29" s="85">
        <f>$C29</f>
        <v>2599.3461083883267</v>
      </c>
      <c r="AE29" s="85">
        <f t="shared" ref="AE29:AN29" si="21">$C29</f>
        <v>2599.3461083883267</v>
      </c>
      <c r="AF29" s="85">
        <f t="shared" si="21"/>
        <v>2599.3461083883267</v>
      </c>
      <c r="AG29" s="85">
        <f t="shared" si="21"/>
        <v>2599.3461083883267</v>
      </c>
      <c r="AH29" s="85">
        <f t="shared" si="21"/>
        <v>2599.3461083883267</v>
      </c>
      <c r="AI29" s="85">
        <f>$C29</f>
        <v>2599.3461083883267</v>
      </c>
      <c r="AJ29" s="85">
        <f t="shared" si="21"/>
        <v>2599.3461083883267</v>
      </c>
      <c r="AK29" s="85">
        <f t="shared" si="21"/>
        <v>2599.3461083883267</v>
      </c>
      <c r="AL29" s="85">
        <f t="shared" si="21"/>
        <v>2599.3461083883267</v>
      </c>
      <c r="AM29" s="85">
        <f t="shared" si="21"/>
        <v>2599.3461083883267</v>
      </c>
      <c r="AN29" s="85">
        <f t="shared" si="21"/>
        <v>2599.3461083883267</v>
      </c>
      <c r="AO29" s="147"/>
    </row>
    <row r="30" spans="2:41" s="29" customFormat="1" outlineLevel="2" x14ac:dyDescent="0.2">
      <c r="B30" s="36" t="s" vm="1594">
        <v>611</v>
      </c>
      <c r="C30" s="230">
        <f t="shared" ref="C30:C32" si="22">IF($G$27="Base",$E30,IF($G$27=$F$28,$F30,IF($G$27=$G$28,$G30)))</f>
        <v>6941.8438658163768</v>
      </c>
      <c r="D30" s="219" t="s" vm="1594">
        <v>611</v>
      </c>
      <c r="E30" s="230">
        <f>Revenue!Q23</f>
        <v>6941.8438658163768</v>
      </c>
      <c r="F30" s="230">
        <f>Revenue!M23</f>
        <v>7225.7983555555547</v>
      </c>
      <c r="G30" s="171">
        <v>8000</v>
      </c>
      <c r="H30" s="84">
        <f>Revenue!C23</f>
        <v>6944.6</v>
      </c>
      <c r="I30" s="84">
        <f>Revenue!D23</f>
        <v>7264.9225919999999</v>
      </c>
      <c r="J30" s="84">
        <f>Revenue!E23</f>
        <v>6336.4328945454536</v>
      </c>
      <c r="K30" s="84">
        <f>Revenue!F23</f>
        <v>6758.7481800000005</v>
      </c>
      <c r="L30" s="84">
        <f>Revenue!G23</f>
        <v>6325.3029428571417</v>
      </c>
      <c r="M30" s="84">
        <f>Revenue!H23</f>
        <v>6706.2965249999997</v>
      </c>
      <c r="N30" s="84">
        <f>Revenue!I23</f>
        <v>7631.8415111111117</v>
      </c>
      <c r="O30" s="84">
        <f>Revenue!J23</f>
        <v>6519.5079799999994</v>
      </c>
      <c r="P30" s="84">
        <f>Revenue!K23</f>
        <v>7594.5239999999994</v>
      </c>
      <c r="Q30" s="84">
        <f>Revenue!L23</f>
        <v>6884.4309999999996</v>
      </c>
      <c r="R30" s="84">
        <f>Revenue!M23</f>
        <v>7225.7983555555547</v>
      </c>
      <c r="S30" s="84">
        <f>Revenue!N23</f>
        <v>7109.7204087272721</v>
      </c>
      <c r="T30" s="84"/>
      <c r="U30" s="162"/>
      <c r="V30" s="153"/>
      <c r="W30" s="153"/>
      <c r="X30" s="153"/>
      <c r="Y30" s="153"/>
      <c r="Z30" s="153"/>
      <c r="AA30" s="153"/>
      <c r="AB30" s="162"/>
      <c r="AC30" s="85">
        <f t="shared" ref="AC30:AN32" si="23">$C30</f>
        <v>6941.8438658163768</v>
      </c>
      <c r="AD30" s="85">
        <f t="shared" si="23"/>
        <v>6941.8438658163768</v>
      </c>
      <c r="AE30" s="85">
        <f t="shared" si="23"/>
        <v>6941.8438658163768</v>
      </c>
      <c r="AF30" s="85">
        <f t="shared" si="23"/>
        <v>6941.8438658163768</v>
      </c>
      <c r="AG30" s="85">
        <f t="shared" si="23"/>
        <v>6941.8438658163768</v>
      </c>
      <c r="AH30" s="85">
        <f t="shared" si="23"/>
        <v>6941.8438658163768</v>
      </c>
      <c r="AI30" s="85">
        <f t="shared" si="23"/>
        <v>6941.8438658163768</v>
      </c>
      <c r="AJ30" s="85">
        <f t="shared" si="23"/>
        <v>6941.8438658163768</v>
      </c>
      <c r="AK30" s="85">
        <f t="shared" si="23"/>
        <v>6941.8438658163768</v>
      </c>
      <c r="AL30" s="85">
        <f t="shared" si="23"/>
        <v>6941.8438658163768</v>
      </c>
      <c r="AM30" s="85">
        <f t="shared" si="23"/>
        <v>6941.8438658163768</v>
      </c>
      <c r="AN30" s="85">
        <f t="shared" si="23"/>
        <v>6941.8438658163768</v>
      </c>
      <c r="AO30" s="147"/>
    </row>
    <row r="31" spans="2:41" s="29" customFormat="1" outlineLevel="2" x14ac:dyDescent="0.2">
      <c r="B31" s="36" t="s" vm="1598">
        <v>612</v>
      </c>
      <c r="C31" s="230">
        <f t="shared" si="22"/>
        <v>13808.930720707069</v>
      </c>
      <c r="D31" s="219" t="s" vm="1598">
        <v>612</v>
      </c>
      <c r="E31" s="230">
        <f>Revenue!Q24</f>
        <v>13808.930720707069</v>
      </c>
      <c r="F31" s="230">
        <f>Revenue!M24</f>
        <v>13201.630000000001</v>
      </c>
      <c r="G31" s="171">
        <v>12000</v>
      </c>
      <c r="H31" s="84">
        <f>Revenue!C24</f>
        <v>13936.746399999998</v>
      </c>
      <c r="I31" s="84">
        <f>Revenue!D24</f>
        <v>12408</v>
      </c>
      <c r="J31" s="84">
        <f>Revenue!E24</f>
        <v>15111.6</v>
      </c>
      <c r="K31" s="84">
        <f>Revenue!F24</f>
        <v>17775</v>
      </c>
      <c r="L31" s="84">
        <f>Revenue!G24</f>
        <v>13763.355000000001</v>
      </c>
      <c r="M31" s="84">
        <f>Revenue!H24</f>
        <v>13476.23258181818</v>
      </c>
      <c r="N31" s="84">
        <f>Revenue!I24</f>
        <v>12270.89</v>
      </c>
      <c r="O31" s="84">
        <f>Revenue!J24</f>
        <v>12353.333333333334</v>
      </c>
      <c r="P31" s="84">
        <f>Revenue!K24</f>
        <v>14201.066666666668</v>
      </c>
      <c r="Q31" s="84">
        <f>Revenue!L24</f>
        <v>14095.168000000001</v>
      </c>
      <c r="R31" s="84">
        <f>Revenue!M24</f>
        <v>13201.630000000001</v>
      </c>
      <c r="S31" s="84">
        <f>Revenue!N24</f>
        <v>13114.146666666666</v>
      </c>
      <c r="T31" s="84"/>
      <c r="U31" s="162"/>
      <c r="V31" s="153"/>
      <c r="W31" s="153"/>
      <c r="X31" s="153"/>
      <c r="Y31" s="153"/>
      <c r="Z31" s="153"/>
      <c r="AA31" s="153"/>
      <c r="AB31" s="162"/>
      <c r="AC31" s="85">
        <f t="shared" si="23"/>
        <v>13808.930720707069</v>
      </c>
      <c r="AD31" s="85">
        <f t="shared" si="23"/>
        <v>13808.930720707069</v>
      </c>
      <c r="AE31" s="85">
        <f t="shared" si="23"/>
        <v>13808.930720707069</v>
      </c>
      <c r="AF31" s="85">
        <f t="shared" si="23"/>
        <v>13808.930720707069</v>
      </c>
      <c r="AG31" s="85">
        <f t="shared" si="23"/>
        <v>13808.930720707069</v>
      </c>
      <c r="AH31" s="85">
        <f t="shared" si="23"/>
        <v>13808.930720707069</v>
      </c>
      <c r="AI31" s="85">
        <f t="shared" si="23"/>
        <v>13808.930720707069</v>
      </c>
      <c r="AJ31" s="85">
        <f t="shared" si="23"/>
        <v>13808.930720707069</v>
      </c>
      <c r="AK31" s="85">
        <f t="shared" si="23"/>
        <v>13808.930720707069</v>
      </c>
      <c r="AL31" s="85">
        <f t="shared" si="23"/>
        <v>13808.930720707069</v>
      </c>
      <c r="AM31" s="85">
        <f t="shared" si="23"/>
        <v>13808.930720707069</v>
      </c>
      <c r="AN31" s="85">
        <f t="shared" si="23"/>
        <v>13808.930720707069</v>
      </c>
      <c r="AO31" s="147"/>
    </row>
    <row r="32" spans="2:41" s="29" customFormat="1" outlineLevel="2" x14ac:dyDescent="0.2">
      <c r="B32" s="124" t="s" vm="1596">
        <v>613</v>
      </c>
      <c r="C32" s="232">
        <f t="shared" si="22"/>
        <v>22205.757466666666</v>
      </c>
      <c r="D32" s="233" t="s" vm="1596">
        <v>613</v>
      </c>
      <c r="E32" s="231">
        <f>Revenue!Q25</f>
        <v>22205.757466666666</v>
      </c>
      <c r="F32" s="231">
        <f>Revenue!M25</f>
        <v>40824</v>
      </c>
      <c r="G32" s="172">
        <v>23000</v>
      </c>
      <c r="H32" s="88">
        <f>Revenue!C25</f>
        <v>20000</v>
      </c>
      <c r="I32" s="88">
        <f>Revenue!D25</f>
        <v>28005.120000000003</v>
      </c>
      <c r="J32" s="88">
        <f>Revenue!E25</f>
        <v>0</v>
      </c>
      <c r="K32" s="88">
        <f>Revenue!F25</f>
        <v>34650.000000000007</v>
      </c>
      <c r="L32" s="88">
        <f>Revenue!G25</f>
        <v>0</v>
      </c>
      <c r="M32" s="88">
        <f>Revenue!H25</f>
        <v>30540</v>
      </c>
      <c r="N32" s="88">
        <f>Revenue!I25</f>
        <v>34920.240000000005</v>
      </c>
      <c r="O32" s="88">
        <f>Revenue!J25</f>
        <v>23658.249599999999</v>
      </c>
      <c r="P32" s="88">
        <f>Revenue!K25</f>
        <v>29860.68</v>
      </c>
      <c r="Q32" s="88">
        <f>Revenue!L25</f>
        <v>0</v>
      </c>
      <c r="R32" s="88">
        <f>Revenue!M25</f>
        <v>40824</v>
      </c>
      <c r="S32" s="88">
        <f>Revenue!N25</f>
        <v>24010.800000000003</v>
      </c>
      <c r="T32" s="194"/>
      <c r="U32" s="162"/>
      <c r="V32" s="153"/>
      <c r="W32" s="153"/>
      <c r="X32" s="153"/>
      <c r="Y32" s="153"/>
      <c r="Z32" s="153"/>
      <c r="AA32" s="153"/>
      <c r="AB32" s="162"/>
      <c r="AC32" s="123">
        <f t="shared" si="23"/>
        <v>22205.757466666666</v>
      </c>
      <c r="AD32" s="123">
        <f t="shared" si="23"/>
        <v>22205.757466666666</v>
      </c>
      <c r="AE32" s="123">
        <f t="shared" si="23"/>
        <v>22205.757466666666</v>
      </c>
      <c r="AF32" s="123">
        <f t="shared" si="23"/>
        <v>22205.757466666666</v>
      </c>
      <c r="AG32" s="123">
        <f t="shared" si="23"/>
        <v>22205.757466666666</v>
      </c>
      <c r="AH32" s="123">
        <f t="shared" si="23"/>
        <v>22205.757466666666</v>
      </c>
      <c r="AI32" s="123">
        <f t="shared" si="23"/>
        <v>22205.757466666666</v>
      </c>
      <c r="AJ32" s="123">
        <f t="shared" si="23"/>
        <v>22205.757466666666</v>
      </c>
      <c r="AK32" s="123">
        <f t="shared" si="23"/>
        <v>22205.757466666666</v>
      </c>
      <c r="AL32" s="123">
        <f t="shared" si="23"/>
        <v>22205.757466666666</v>
      </c>
      <c r="AM32" s="123">
        <f t="shared" si="23"/>
        <v>22205.757466666666</v>
      </c>
      <c r="AN32" s="123">
        <f t="shared" si="23"/>
        <v>22205.757466666666</v>
      </c>
      <c r="AO32" s="148"/>
    </row>
    <row r="33" spans="2:41" s="29" customFormat="1" outlineLevel="2" x14ac:dyDescent="0.2">
      <c r="B33" s="36" t="s">
        <v>547</v>
      </c>
      <c r="C33" s="85">
        <f>SUM(C29:C32)</f>
        <v>45555.878161578439</v>
      </c>
      <c r="D33" s="85"/>
      <c r="E33" s="85"/>
      <c r="F33" s="85"/>
      <c r="G33" s="85"/>
      <c r="H33" s="86">
        <f>SUM(H29:H32)</f>
        <v>43369.486399999994</v>
      </c>
      <c r="I33" s="86">
        <f t="shared" ref="I33:S33" si="24">SUM(I29:I32)</f>
        <v>50436.345449142857</v>
      </c>
      <c r="J33" s="86">
        <f t="shared" si="24"/>
        <v>23886.677338989895</v>
      </c>
      <c r="K33" s="86">
        <f t="shared" si="24"/>
        <v>61729.270513333337</v>
      </c>
      <c r="L33" s="86">
        <f t="shared" si="24"/>
        <v>22673.378189010989</v>
      </c>
      <c r="M33" s="86">
        <f t="shared" si="24"/>
        <v>53508.127678246754</v>
      </c>
      <c r="N33" s="86">
        <f t="shared" si="24"/>
        <v>58035.733311111115</v>
      </c>
      <c r="O33" s="86">
        <f t="shared" si="24"/>
        <v>45052.926886666668</v>
      </c>
      <c r="P33" s="86">
        <f t="shared" si="24"/>
        <v>54228.787819607845</v>
      </c>
      <c r="Q33" s="86">
        <f t="shared" si="24"/>
        <v>23279.6774</v>
      </c>
      <c r="R33" s="86">
        <f t="shared" si="24"/>
        <v>63283.59306143791</v>
      </c>
      <c r="S33" s="86">
        <f t="shared" si="24"/>
        <v>47186.533891393941</v>
      </c>
      <c r="T33" s="86"/>
      <c r="U33" s="162"/>
      <c r="V33" s="153"/>
      <c r="W33" s="153"/>
      <c r="X33" s="153"/>
      <c r="Y33" s="153"/>
      <c r="Z33" s="153"/>
      <c r="AA33" s="153"/>
      <c r="AB33" s="162"/>
      <c r="AC33" s="85">
        <f>SUM(AC29:AC32)</f>
        <v>45555.878161578439</v>
      </c>
      <c r="AD33" s="85">
        <f t="shared" ref="AD33:AN33" si="25">SUM(AD29:AD32)</f>
        <v>45555.878161578439</v>
      </c>
      <c r="AE33" s="85">
        <f t="shared" si="25"/>
        <v>45555.878161578439</v>
      </c>
      <c r="AF33" s="85">
        <f t="shared" si="25"/>
        <v>45555.878161578439</v>
      </c>
      <c r="AG33" s="85">
        <f t="shared" si="25"/>
        <v>45555.878161578439</v>
      </c>
      <c r="AH33" s="85">
        <f t="shared" si="25"/>
        <v>45555.878161578439</v>
      </c>
      <c r="AI33" s="85">
        <f t="shared" si="25"/>
        <v>45555.878161578439</v>
      </c>
      <c r="AJ33" s="85">
        <f t="shared" si="25"/>
        <v>45555.878161578439</v>
      </c>
      <c r="AK33" s="85">
        <f t="shared" si="25"/>
        <v>45555.878161578439</v>
      </c>
      <c r="AL33" s="85">
        <f t="shared" si="25"/>
        <v>45555.878161578439</v>
      </c>
      <c r="AM33" s="85">
        <f t="shared" si="25"/>
        <v>45555.878161578439</v>
      </c>
      <c r="AN33" s="85">
        <f t="shared" si="25"/>
        <v>45555.878161578439</v>
      </c>
      <c r="AO33" s="147"/>
    </row>
    <row r="34" spans="2:41" s="29" customFormat="1" outlineLevel="2" x14ac:dyDescent="0.2">
      <c r="B34" s="29" t="s">
        <v>577</v>
      </c>
      <c r="H34" s="34"/>
      <c r="I34" s="32">
        <f t="shared" ref="I34:S34" si="26">(I33-H33)/H33</f>
        <v>0.16294541706038887</v>
      </c>
      <c r="J34" s="32">
        <f t="shared" si="26"/>
        <v>-0.52639952149039304</v>
      </c>
      <c r="K34" s="32">
        <f t="shared" si="26"/>
        <v>1.5842552162988988</v>
      </c>
      <c r="L34" s="32">
        <f t="shared" si="26"/>
        <v>-0.63269648255257438</v>
      </c>
      <c r="M34" s="32">
        <f t="shared" si="26"/>
        <v>1.3599539174175779</v>
      </c>
      <c r="N34" s="32">
        <f t="shared" si="26"/>
        <v>8.4615287981848378E-2</v>
      </c>
      <c r="O34" s="32">
        <f t="shared" si="26"/>
        <v>-0.22370366813231685</v>
      </c>
      <c r="P34" s="32">
        <f t="shared" si="26"/>
        <v>0.20366847543609329</v>
      </c>
      <c r="Q34" s="32">
        <f t="shared" si="26"/>
        <v>-0.57071366821917746</v>
      </c>
      <c r="R34" s="32">
        <f t="shared" si="26"/>
        <v>1.7184050695409512</v>
      </c>
      <c r="S34" s="32">
        <f t="shared" si="26"/>
        <v>-0.25436386259573451</v>
      </c>
      <c r="T34" s="32"/>
      <c r="U34" s="162"/>
      <c r="V34" s="154"/>
      <c r="W34" s="153"/>
      <c r="X34" s="153"/>
      <c r="Y34" s="153"/>
      <c r="Z34" s="153"/>
      <c r="AA34" s="153"/>
      <c r="AB34" s="162"/>
    </row>
    <row r="35" spans="2:41" s="29" customFormat="1" ht="9.25" customHeight="1" outlineLevel="2" x14ac:dyDescent="0.2"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162"/>
      <c r="V35" s="153"/>
      <c r="W35" s="153"/>
      <c r="X35" s="153"/>
      <c r="Y35" s="153"/>
      <c r="Z35" s="153"/>
      <c r="AA35" s="153"/>
      <c r="AB35" s="162"/>
    </row>
    <row r="36" spans="2:41" outlineLevel="2" x14ac:dyDescent="0.2">
      <c r="B36" s="36" t="s">
        <v>631</v>
      </c>
      <c r="C36" s="23">
        <v>12</v>
      </c>
      <c r="H36" s="23">
        <f>C36</f>
        <v>12</v>
      </c>
      <c r="I36" s="67">
        <f t="shared" ref="I36:AN36" si="27">H36</f>
        <v>12</v>
      </c>
      <c r="J36" s="67">
        <f t="shared" si="27"/>
        <v>12</v>
      </c>
      <c r="K36" s="67">
        <f t="shared" si="27"/>
        <v>12</v>
      </c>
      <c r="L36" s="67">
        <f t="shared" si="27"/>
        <v>12</v>
      </c>
      <c r="M36" s="67">
        <f t="shared" si="27"/>
        <v>12</v>
      </c>
      <c r="N36" s="67">
        <f t="shared" si="27"/>
        <v>12</v>
      </c>
      <c r="O36" s="67">
        <f t="shared" si="27"/>
        <v>12</v>
      </c>
      <c r="P36" s="67">
        <f t="shared" si="27"/>
        <v>12</v>
      </c>
      <c r="Q36" s="67">
        <f t="shared" si="27"/>
        <v>12</v>
      </c>
      <c r="R36" s="67">
        <f t="shared" si="27"/>
        <v>12</v>
      </c>
      <c r="S36" s="67">
        <f t="shared" si="27"/>
        <v>12</v>
      </c>
      <c r="U36" s="116"/>
      <c r="V36" s="151"/>
      <c r="W36" s="151"/>
      <c r="X36" s="151"/>
      <c r="Y36" s="151"/>
      <c r="Z36" s="151"/>
      <c r="AA36" s="151"/>
      <c r="AB36" s="116"/>
      <c r="AC36" s="67">
        <f>C36</f>
        <v>12</v>
      </c>
      <c r="AD36" s="67">
        <f t="shared" si="27"/>
        <v>12</v>
      </c>
      <c r="AE36" s="67">
        <f t="shared" si="27"/>
        <v>12</v>
      </c>
      <c r="AF36" s="67">
        <f t="shared" si="27"/>
        <v>12</v>
      </c>
      <c r="AG36" s="67">
        <f t="shared" si="27"/>
        <v>12</v>
      </c>
      <c r="AH36" s="67">
        <f t="shared" si="27"/>
        <v>12</v>
      </c>
      <c r="AI36" s="67">
        <f t="shared" si="27"/>
        <v>12</v>
      </c>
      <c r="AJ36" s="67">
        <f t="shared" si="27"/>
        <v>12</v>
      </c>
      <c r="AK36" s="67">
        <f t="shared" si="27"/>
        <v>12</v>
      </c>
      <c r="AL36" s="67">
        <f t="shared" si="27"/>
        <v>12</v>
      </c>
      <c r="AM36" s="67">
        <f t="shared" si="27"/>
        <v>12</v>
      </c>
      <c r="AN36" s="67">
        <f t="shared" si="27"/>
        <v>12</v>
      </c>
      <c r="AO36" s="33"/>
    </row>
    <row r="37" spans="2:41" ht="6" customHeight="1" outlineLevel="1" x14ac:dyDescent="0.2">
      <c r="U37" s="116"/>
      <c r="V37" s="151"/>
      <c r="W37" s="151"/>
      <c r="X37" s="151"/>
      <c r="Y37" s="151"/>
      <c r="Z37" s="151"/>
      <c r="AA37" s="151"/>
      <c r="AB37" s="116"/>
    </row>
    <row r="38" spans="2:41" outlineLevel="1" x14ac:dyDescent="0.2">
      <c r="B38" s="37" t="s">
        <v>564</v>
      </c>
      <c r="C38" s="69" t="s">
        <v>626</v>
      </c>
      <c r="D38" s="69"/>
      <c r="E38" s="69"/>
      <c r="F38" s="69"/>
      <c r="G38" s="69"/>
      <c r="U38" s="116"/>
      <c r="V38" s="151"/>
      <c r="W38" s="151"/>
      <c r="X38" s="151"/>
      <c r="Y38" s="151"/>
      <c r="Z38" s="151"/>
      <c r="AA38" s="151"/>
      <c r="AB38" s="116"/>
    </row>
    <row r="39" spans="2:41" outlineLevel="2" x14ac:dyDescent="0.2">
      <c r="B39" s="39" t="s">
        <v>565</v>
      </c>
      <c r="C39" s="129">
        <v>50000</v>
      </c>
      <c r="D39" s="129"/>
      <c r="E39" s="129"/>
      <c r="F39" s="129"/>
      <c r="G39" s="69"/>
      <c r="H39" s="40">
        <f>50000/12</f>
        <v>4166.666666666667</v>
      </c>
      <c r="I39" s="40">
        <f t="shared" ref="I39:T39" si="28">50000/12</f>
        <v>4166.666666666667</v>
      </c>
      <c r="J39" s="40">
        <f t="shared" si="28"/>
        <v>4166.666666666667</v>
      </c>
      <c r="K39" s="40">
        <f t="shared" si="28"/>
        <v>4166.666666666667</v>
      </c>
      <c r="L39" s="40">
        <f t="shared" si="28"/>
        <v>4166.666666666667</v>
      </c>
      <c r="M39" s="40">
        <f t="shared" si="28"/>
        <v>4166.666666666667</v>
      </c>
      <c r="N39" s="40">
        <f t="shared" si="28"/>
        <v>4166.666666666667</v>
      </c>
      <c r="O39" s="40">
        <f t="shared" si="28"/>
        <v>4166.666666666667</v>
      </c>
      <c r="P39" s="40">
        <f t="shared" si="28"/>
        <v>4166.666666666667</v>
      </c>
      <c r="Q39" s="40">
        <f t="shared" si="28"/>
        <v>4166.666666666667</v>
      </c>
      <c r="R39" s="40">
        <f t="shared" si="28"/>
        <v>4166.666666666667</v>
      </c>
      <c r="S39" s="40">
        <f t="shared" si="28"/>
        <v>4166.666666666667</v>
      </c>
      <c r="T39" s="40">
        <f t="shared" si="28"/>
        <v>4166.666666666667</v>
      </c>
      <c r="U39" s="163"/>
      <c r="V39" s="155"/>
      <c r="W39" s="155"/>
      <c r="X39" s="155"/>
      <c r="Y39" s="155"/>
      <c r="Z39" s="155"/>
      <c r="AA39" s="155"/>
      <c r="AB39" s="163"/>
      <c r="AC39" s="40">
        <f>$C$39/12</f>
        <v>4166.666666666667</v>
      </c>
      <c r="AD39" s="40">
        <f t="shared" ref="AD39:AN39" si="29">$C$39/12</f>
        <v>4166.666666666667</v>
      </c>
      <c r="AE39" s="40">
        <f t="shared" si="29"/>
        <v>4166.666666666667</v>
      </c>
      <c r="AF39" s="40">
        <f t="shared" si="29"/>
        <v>4166.666666666667</v>
      </c>
      <c r="AG39" s="40">
        <f t="shared" si="29"/>
        <v>4166.666666666667</v>
      </c>
      <c r="AH39" s="40">
        <f t="shared" si="29"/>
        <v>4166.666666666667</v>
      </c>
      <c r="AI39" s="40">
        <f t="shared" si="29"/>
        <v>4166.666666666667</v>
      </c>
      <c r="AJ39" s="40">
        <f t="shared" si="29"/>
        <v>4166.666666666667</v>
      </c>
      <c r="AK39" s="40">
        <f t="shared" si="29"/>
        <v>4166.666666666667</v>
      </c>
      <c r="AL39" s="40">
        <f t="shared" si="29"/>
        <v>4166.666666666667</v>
      </c>
      <c r="AM39" s="40">
        <f t="shared" si="29"/>
        <v>4166.666666666667</v>
      </c>
      <c r="AN39" s="40">
        <f t="shared" si="29"/>
        <v>4166.666666666667</v>
      </c>
      <c r="AO39" s="146"/>
    </row>
    <row r="40" spans="2:41" outlineLevel="2" x14ac:dyDescent="0.2">
      <c r="B40" s="39" t="s">
        <v>566</v>
      </c>
      <c r="C40" s="127">
        <v>0.1</v>
      </c>
      <c r="D40" s="127"/>
      <c r="E40" s="127"/>
      <c r="F40" s="127"/>
      <c r="G40" s="69"/>
      <c r="H40" s="41">
        <v>0.1</v>
      </c>
      <c r="I40" s="41">
        <v>0.1</v>
      </c>
      <c r="J40" s="41">
        <v>0.1</v>
      </c>
      <c r="K40" s="41">
        <v>0.1</v>
      </c>
      <c r="L40" s="41">
        <v>0.1</v>
      </c>
      <c r="M40" s="41">
        <v>0.1</v>
      </c>
      <c r="N40" s="41">
        <v>0.1</v>
      </c>
      <c r="O40" s="41">
        <v>0.1</v>
      </c>
      <c r="P40" s="41">
        <v>0.1</v>
      </c>
      <c r="Q40" s="41">
        <v>0.1</v>
      </c>
      <c r="R40" s="41">
        <v>0.1</v>
      </c>
      <c r="S40" s="41">
        <v>0.1</v>
      </c>
      <c r="T40" s="41">
        <v>1.1000000000000001</v>
      </c>
      <c r="U40" s="164"/>
      <c r="V40" s="156"/>
      <c r="W40" s="156"/>
      <c r="X40" s="156"/>
      <c r="Y40" s="156"/>
      <c r="Z40" s="156"/>
      <c r="AA40" s="156"/>
      <c r="AB40" s="164"/>
      <c r="AC40" s="41">
        <f>$C$40</f>
        <v>0.1</v>
      </c>
      <c r="AD40" s="41">
        <f t="shared" ref="AD40:AN40" si="30">$C$40</f>
        <v>0.1</v>
      </c>
      <c r="AE40" s="41">
        <f t="shared" si="30"/>
        <v>0.1</v>
      </c>
      <c r="AF40" s="41">
        <f t="shared" si="30"/>
        <v>0.1</v>
      </c>
      <c r="AG40" s="41">
        <f t="shared" si="30"/>
        <v>0.1</v>
      </c>
      <c r="AH40" s="41">
        <f t="shared" si="30"/>
        <v>0.1</v>
      </c>
      <c r="AI40" s="41">
        <f t="shared" si="30"/>
        <v>0.1</v>
      </c>
      <c r="AJ40" s="41">
        <f t="shared" si="30"/>
        <v>0.1</v>
      </c>
      <c r="AK40" s="41">
        <f t="shared" si="30"/>
        <v>0.1</v>
      </c>
      <c r="AL40" s="41">
        <f t="shared" si="30"/>
        <v>0.1</v>
      </c>
      <c r="AM40" s="41">
        <f t="shared" si="30"/>
        <v>0.1</v>
      </c>
      <c r="AN40" s="41">
        <f t="shared" si="30"/>
        <v>0.1</v>
      </c>
      <c r="AO40" s="50"/>
    </row>
    <row r="41" spans="2:41" outlineLevel="2" x14ac:dyDescent="0.2">
      <c r="B41" s="39" t="s">
        <v>567</v>
      </c>
      <c r="C41" s="129">
        <v>100000</v>
      </c>
      <c r="D41" s="129"/>
      <c r="E41" s="129"/>
      <c r="F41" s="129"/>
      <c r="G41" s="69"/>
      <c r="H41" s="40">
        <f>100000/12</f>
        <v>8333.3333333333339</v>
      </c>
      <c r="I41" s="40">
        <f t="shared" ref="I41:T41" si="31">100000/12</f>
        <v>8333.3333333333339</v>
      </c>
      <c r="J41" s="40">
        <f t="shared" si="31"/>
        <v>8333.3333333333339</v>
      </c>
      <c r="K41" s="40">
        <f t="shared" si="31"/>
        <v>8333.3333333333339</v>
      </c>
      <c r="L41" s="40">
        <f t="shared" si="31"/>
        <v>8333.3333333333339</v>
      </c>
      <c r="M41" s="40">
        <f t="shared" si="31"/>
        <v>8333.3333333333339</v>
      </c>
      <c r="N41" s="40">
        <f t="shared" si="31"/>
        <v>8333.3333333333339</v>
      </c>
      <c r="O41" s="40">
        <f t="shared" si="31"/>
        <v>8333.3333333333339</v>
      </c>
      <c r="P41" s="40">
        <f t="shared" si="31"/>
        <v>8333.3333333333339</v>
      </c>
      <c r="Q41" s="40">
        <f t="shared" si="31"/>
        <v>8333.3333333333339</v>
      </c>
      <c r="R41" s="40">
        <f t="shared" si="31"/>
        <v>8333.3333333333339</v>
      </c>
      <c r="S41" s="40">
        <f t="shared" si="31"/>
        <v>8333.3333333333339</v>
      </c>
      <c r="T41" s="40">
        <f t="shared" si="31"/>
        <v>8333.3333333333339</v>
      </c>
      <c r="U41" s="163"/>
      <c r="V41" s="155"/>
      <c r="W41" s="155"/>
      <c r="X41" s="155"/>
      <c r="Y41" s="155"/>
      <c r="Z41" s="155"/>
      <c r="AA41" s="155"/>
      <c r="AB41" s="163"/>
      <c r="AC41" s="40">
        <f>$C$41/12</f>
        <v>8333.3333333333339</v>
      </c>
      <c r="AD41" s="40">
        <f t="shared" ref="AD41:AN41" si="32">$C$41/12</f>
        <v>8333.3333333333339</v>
      </c>
      <c r="AE41" s="40">
        <f t="shared" si="32"/>
        <v>8333.3333333333339</v>
      </c>
      <c r="AF41" s="40">
        <f t="shared" si="32"/>
        <v>8333.3333333333339</v>
      </c>
      <c r="AG41" s="40">
        <f t="shared" si="32"/>
        <v>8333.3333333333339</v>
      </c>
      <c r="AH41" s="40">
        <f t="shared" si="32"/>
        <v>8333.3333333333339</v>
      </c>
      <c r="AI41" s="40">
        <f t="shared" si="32"/>
        <v>8333.3333333333339</v>
      </c>
      <c r="AJ41" s="40">
        <f t="shared" si="32"/>
        <v>8333.3333333333339</v>
      </c>
      <c r="AK41" s="40">
        <f t="shared" si="32"/>
        <v>8333.3333333333339</v>
      </c>
      <c r="AL41" s="40">
        <f t="shared" si="32"/>
        <v>8333.3333333333339</v>
      </c>
      <c r="AM41" s="40">
        <f t="shared" si="32"/>
        <v>8333.3333333333339</v>
      </c>
      <c r="AN41" s="40">
        <f t="shared" si="32"/>
        <v>8333.3333333333339</v>
      </c>
      <c r="AO41" s="146"/>
    </row>
    <row r="42" spans="2:41" outlineLevel="2" x14ac:dyDescent="0.2">
      <c r="B42" s="39" t="s">
        <v>574</v>
      </c>
      <c r="C42" s="129">
        <v>3000</v>
      </c>
      <c r="D42" s="129"/>
      <c r="E42" s="129"/>
      <c r="F42" s="129"/>
      <c r="G42" s="69"/>
      <c r="H42" s="40">
        <v>3000</v>
      </c>
      <c r="I42" s="40">
        <v>3000</v>
      </c>
      <c r="J42" s="40">
        <v>3000</v>
      </c>
      <c r="K42" s="40">
        <v>3000</v>
      </c>
      <c r="L42" s="40">
        <v>3000</v>
      </c>
      <c r="M42" s="40">
        <v>3000</v>
      </c>
      <c r="N42" s="40">
        <v>3000</v>
      </c>
      <c r="O42" s="40">
        <v>3000</v>
      </c>
      <c r="P42" s="40">
        <v>3000</v>
      </c>
      <c r="Q42" s="40">
        <v>3000</v>
      </c>
      <c r="R42" s="40">
        <v>3000</v>
      </c>
      <c r="S42" s="40">
        <v>3000</v>
      </c>
      <c r="T42" s="40">
        <v>3000</v>
      </c>
      <c r="U42" s="163"/>
      <c r="V42" s="155"/>
      <c r="W42" s="155"/>
      <c r="X42" s="155"/>
      <c r="Y42" s="155"/>
      <c r="Z42" s="155"/>
      <c r="AA42" s="155"/>
      <c r="AB42" s="163"/>
      <c r="AC42" s="40">
        <f>$C$42</f>
        <v>3000</v>
      </c>
      <c r="AD42" s="40">
        <f t="shared" ref="AD42:AN42" si="33">$C$42</f>
        <v>3000</v>
      </c>
      <c r="AE42" s="40">
        <f t="shared" si="33"/>
        <v>3000</v>
      </c>
      <c r="AF42" s="40">
        <f t="shared" si="33"/>
        <v>3000</v>
      </c>
      <c r="AG42" s="40">
        <f t="shared" si="33"/>
        <v>3000</v>
      </c>
      <c r="AH42" s="40">
        <f t="shared" si="33"/>
        <v>3000</v>
      </c>
      <c r="AI42" s="40">
        <f t="shared" si="33"/>
        <v>3000</v>
      </c>
      <c r="AJ42" s="40">
        <f t="shared" si="33"/>
        <v>3000</v>
      </c>
      <c r="AK42" s="40">
        <f t="shared" si="33"/>
        <v>3000</v>
      </c>
      <c r="AL42" s="40">
        <f t="shared" si="33"/>
        <v>3000</v>
      </c>
      <c r="AM42" s="40">
        <f t="shared" si="33"/>
        <v>3000</v>
      </c>
      <c r="AN42" s="40">
        <f t="shared" si="33"/>
        <v>3000</v>
      </c>
      <c r="AO42" s="146"/>
    </row>
    <row r="43" spans="2:41" outlineLevel="2" x14ac:dyDescent="0.2">
      <c r="B43" s="39" t="s">
        <v>568</v>
      </c>
      <c r="C43" s="130">
        <v>750</v>
      </c>
      <c r="D43" s="130"/>
      <c r="E43" s="130"/>
      <c r="F43" s="130"/>
      <c r="G43" s="69"/>
      <c r="H43" s="39">
        <v>750</v>
      </c>
      <c r="I43" s="39">
        <v>750</v>
      </c>
      <c r="J43" s="39">
        <v>750</v>
      </c>
      <c r="K43" s="39">
        <v>750</v>
      </c>
      <c r="L43" s="39">
        <v>750</v>
      </c>
      <c r="M43" s="39">
        <v>750</v>
      </c>
      <c r="N43" s="39">
        <v>750</v>
      </c>
      <c r="O43" s="39">
        <v>750</v>
      </c>
      <c r="P43" s="39">
        <v>750</v>
      </c>
      <c r="Q43" s="39">
        <v>750</v>
      </c>
      <c r="R43" s="39">
        <v>750</v>
      </c>
      <c r="S43" s="39">
        <v>750</v>
      </c>
      <c r="T43" s="39">
        <v>750</v>
      </c>
      <c r="U43" s="116"/>
      <c r="V43" s="151"/>
      <c r="W43" s="151"/>
      <c r="X43" s="151"/>
      <c r="Y43" s="151"/>
      <c r="Z43" s="151"/>
      <c r="AA43" s="151"/>
      <c r="AB43" s="116"/>
      <c r="AC43" s="39">
        <f>$C$43</f>
        <v>750</v>
      </c>
      <c r="AD43" s="39">
        <f t="shared" ref="AD43:AN43" si="34">$C$43</f>
        <v>750</v>
      </c>
      <c r="AE43" s="39">
        <f t="shared" si="34"/>
        <v>750</v>
      </c>
      <c r="AF43" s="39">
        <f t="shared" si="34"/>
        <v>750</v>
      </c>
      <c r="AG43" s="39">
        <f t="shared" si="34"/>
        <v>750</v>
      </c>
      <c r="AH43" s="39">
        <f t="shared" si="34"/>
        <v>750</v>
      </c>
      <c r="AI43" s="39">
        <f t="shared" si="34"/>
        <v>750</v>
      </c>
      <c r="AJ43" s="39">
        <f t="shared" si="34"/>
        <v>750</v>
      </c>
      <c r="AK43" s="39">
        <f t="shared" si="34"/>
        <v>750</v>
      </c>
      <c r="AL43" s="39">
        <f t="shared" si="34"/>
        <v>750</v>
      </c>
      <c r="AM43" s="39">
        <f t="shared" si="34"/>
        <v>750</v>
      </c>
      <c r="AN43" s="39">
        <f t="shared" si="34"/>
        <v>750</v>
      </c>
      <c r="AO43" s="33"/>
    </row>
    <row r="44" spans="2:41" outlineLevel="2" x14ac:dyDescent="0.2">
      <c r="B44" s="39" t="s">
        <v>569</v>
      </c>
      <c r="C44" s="129">
        <v>250</v>
      </c>
      <c r="D44" s="129"/>
      <c r="E44" s="129"/>
      <c r="F44" s="129"/>
      <c r="G44" s="69"/>
      <c r="H44" s="40">
        <v>250</v>
      </c>
      <c r="I44" s="40">
        <v>250</v>
      </c>
      <c r="J44" s="40">
        <v>250</v>
      </c>
      <c r="K44" s="40">
        <v>250</v>
      </c>
      <c r="L44" s="40">
        <v>250</v>
      </c>
      <c r="M44" s="40">
        <v>250</v>
      </c>
      <c r="N44" s="40">
        <v>250</v>
      </c>
      <c r="O44" s="40">
        <v>250</v>
      </c>
      <c r="P44" s="40">
        <v>250</v>
      </c>
      <c r="Q44" s="40">
        <v>250</v>
      </c>
      <c r="R44" s="40">
        <v>250</v>
      </c>
      <c r="S44" s="40">
        <v>250</v>
      </c>
      <c r="T44" s="40">
        <v>250</v>
      </c>
      <c r="U44" s="163"/>
      <c r="V44" s="155"/>
      <c r="W44" s="155"/>
      <c r="X44" s="155"/>
      <c r="Y44" s="155"/>
      <c r="Z44" s="155"/>
      <c r="AA44" s="155"/>
      <c r="AB44" s="163"/>
      <c r="AC44" s="40">
        <f>$C$44</f>
        <v>250</v>
      </c>
      <c r="AD44" s="40">
        <f t="shared" ref="AD44:AN44" si="35">$C$44</f>
        <v>250</v>
      </c>
      <c r="AE44" s="40">
        <f t="shared" si="35"/>
        <v>250</v>
      </c>
      <c r="AF44" s="40">
        <f t="shared" si="35"/>
        <v>250</v>
      </c>
      <c r="AG44" s="40">
        <f t="shared" si="35"/>
        <v>250</v>
      </c>
      <c r="AH44" s="40">
        <f t="shared" si="35"/>
        <v>250</v>
      </c>
      <c r="AI44" s="40">
        <f t="shared" si="35"/>
        <v>250</v>
      </c>
      <c r="AJ44" s="40">
        <f t="shared" si="35"/>
        <v>250</v>
      </c>
      <c r="AK44" s="40">
        <f t="shared" si="35"/>
        <v>250</v>
      </c>
      <c r="AL44" s="40">
        <f t="shared" si="35"/>
        <v>250</v>
      </c>
      <c r="AM44" s="40">
        <f t="shared" si="35"/>
        <v>250</v>
      </c>
      <c r="AN44" s="40">
        <f t="shared" si="35"/>
        <v>250</v>
      </c>
      <c r="AO44" s="146"/>
    </row>
    <row r="45" spans="2:41" outlineLevel="2" x14ac:dyDescent="0.2">
      <c r="B45" s="39" t="s">
        <v>570</v>
      </c>
      <c r="C45" s="129">
        <v>500</v>
      </c>
      <c r="D45" s="129"/>
      <c r="E45" s="129"/>
      <c r="F45" s="129"/>
      <c r="G45" s="69"/>
      <c r="H45" s="40">
        <v>500</v>
      </c>
      <c r="I45" s="40">
        <v>500</v>
      </c>
      <c r="J45" s="40">
        <v>500</v>
      </c>
      <c r="K45" s="40">
        <v>500</v>
      </c>
      <c r="L45" s="40">
        <v>500</v>
      </c>
      <c r="M45" s="40">
        <v>500</v>
      </c>
      <c r="N45" s="40">
        <v>500</v>
      </c>
      <c r="O45" s="40">
        <v>500</v>
      </c>
      <c r="P45" s="40">
        <v>500</v>
      </c>
      <c r="Q45" s="40">
        <v>500</v>
      </c>
      <c r="R45" s="40">
        <v>500</v>
      </c>
      <c r="S45" s="40">
        <v>500</v>
      </c>
      <c r="T45" s="40">
        <v>500</v>
      </c>
      <c r="U45" s="163"/>
      <c r="V45" s="155"/>
      <c r="W45" s="155"/>
      <c r="X45" s="155"/>
      <c r="Y45" s="155"/>
      <c r="Z45" s="155"/>
      <c r="AA45" s="155"/>
      <c r="AB45" s="163"/>
      <c r="AC45" s="40">
        <f>$C$45</f>
        <v>500</v>
      </c>
      <c r="AD45" s="40">
        <f t="shared" ref="AD45:AN45" si="36">$C$45</f>
        <v>500</v>
      </c>
      <c r="AE45" s="40">
        <f t="shared" si="36"/>
        <v>500</v>
      </c>
      <c r="AF45" s="40">
        <f t="shared" si="36"/>
        <v>500</v>
      </c>
      <c r="AG45" s="40">
        <f t="shared" si="36"/>
        <v>500</v>
      </c>
      <c r="AH45" s="40">
        <f t="shared" si="36"/>
        <v>500</v>
      </c>
      <c r="AI45" s="40">
        <f t="shared" si="36"/>
        <v>500</v>
      </c>
      <c r="AJ45" s="40">
        <f t="shared" si="36"/>
        <v>500</v>
      </c>
      <c r="AK45" s="40">
        <f t="shared" si="36"/>
        <v>500</v>
      </c>
      <c r="AL45" s="40">
        <f t="shared" si="36"/>
        <v>500</v>
      </c>
      <c r="AM45" s="40">
        <f t="shared" si="36"/>
        <v>500</v>
      </c>
      <c r="AN45" s="40">
        <f t="shared" si="36"/>
        <v>500</v>
      </c>
      <c r="AO45" s="146"/>
    </row>
    <row r="46" spans="2:41" outlineLevel="2" x14ac:dyDescent="0.2">
      <c r="B46" s="39" t="s">
        <v>571</v>
      </c>
      <c r="C46" s="129">
        <v>1000</v>
      </c>
      <c r="D46" s="129"/>
      <c r="E46" s="129"/>
      <c r="F46" s="129"/>
      <c r="G46" s="69"/>
      <c r="H46" s="40">
        <v>1000</v>
      </c>
      <c r="I46" s="40">
        <v>1000</v>
      </c>
      <c r="J46" s="40">
        <v>1000</v>
      </c>
      <c r="K46" s="40">
        <v>1000</v>
      </c>
      <c r="L46" s="40">
        <v>1000</v>
      </c>
      <c r="M46" s="40">
        <v>1000</v>
      </c>
      <c r="N46" s="40">
        <v>1000</v>
      </c>
      <c r="O46" s="40">
        <v>1000</v>
      </c>
      <c r="P46" s="40">
        <v>1000</v>
      </c>
      <c r="Q46" s="40">
        <v>1000</v>
      </c>
      <c r="R46" s="40">
        <v>1000</v>
      </c>
      <c r="S46" s="40">
        <v>1000</v>
      </c>
      <c r="T46" s="40">
        <v>1000</v>
      </c>
      <c r="U46" s="163"/>
      <c r="V46" s="155"/>
      <c r="W46" s="155"/>
      <c r="X46" s="155"/>
      <c r="Y46" s="155"/>
      <c r="Z46" s="155"/>
      <c r="AA46" s="155"/>
      <c r="AB46" s="163"/>
      <c r="AC46" s="40">
        <f>$C$46</f>
        <v>1000</v>
      </c>
      <c r="AD46" s="40">
        <f t="shared" ref="AD46:AN46" si="37">$C$46</f>
        <v>1000</v>
      </c>
      <c r="AE46" s="40">
        <f t="shared" si="37"/>
        <v>1000</v>
      </c>
      <c r="AF46" s="40">
        <f t="shared" si="37"/>
        <v>1000</v>
      </c>
      <c r="AG46" s="40">
        <f t="shared" si="37"/>
        <v>1000</v>
      </c>
      <c r="AH46" s="40">
        <f t="shared" si="37"/>
        <v>1000</v>
      </c>
      <c r="AI46" s="40">
        <f t="shared" si="37"/>
        <v>1000</v>
      </c>
      <c r="AJ46" s="40">
        <f t="shared" si="37"/>
        <v>1000</v>
      </c>
      <c r="AK46" s="40">
        <f t="shared" si="37"/>
        <v>1000</v>
      </c>
      <c r="AL46" s="40">
        <f t="shared" si="37"/>
        <v>1000</v>
      </c>
      <c r="AM46" s="40">
        <f t="shared" si="37"/>
        <v>1000</v>
      </c>
      <c r="AN46" s="40">
        <f t="shared" si="37"/>
        <v>1000</v>
      </c>
      <c r="AO46" s="146"/>
    </row>
    <row r="47" spans="2:41" outlineLevel="2" x14ac:dyDescent="0.2">
      <c r="G47" s="69"/>
      <c r="U47" s="116"/>
      <c r="V47" s="151"/>
      <c r="W47" s="151"/>
      <c r="X47" s="151"/>
      <c r="Y47" s="151"/>
      <c r="Z47" s="151"/>
      <c r="AA47" s="151"/>
      <c r="AB47" s="116"/>
      <c r="AC47" s="36"/>
    </row>
    <row r="48" spans="2:41" outlineLevel="1" x14ac:dyDescent="0.2">
      <c r="B48" s="37" t="s">
        <v>572</v>
      </c>
      <c r="C48" s="213" t="s">
        <v>590</v>
      </c>
      <c r="D48" s="213"/>
      <c r="E48" s="213"/>
      <c r="F48" s="213"/>
      <c r="G48" s="69"/>
      <c r="U48" s="116"/>
      <c r="V48" s="151"/>
      <c r="W48" s="151"/>
      <c r="X48" s="151"/>
      <c r="Y48" s="151"/>
      <c r="Z48" s="151"/>
      <c r="AA48" s="151"/>
      <c r="AB48" s="116"/>
      <c r="AC48" s="36"/>
    </row>
    <row r="49" spans="2:41" outlineLevel="2" x14ac:dyDescent="0.2">
      <c r="B49" s="39" t="s">
        <v>593</v>
      </c>
      <c r="C49" s="127">
        <v>0.33</v>
      </c>
      <c r="D49" s="127"/>
      <c r="E49" s="127"/>
      <c r="F49" s="127"/>
      <c r="G49" s="69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116"/>
      <c r="V49" s="151"/>
      <c r="W49" s="151"/>
      <c r="X49" s="151"/>
      <c r="Y49" s="151"/>
      <c r="Z49" s="151"/>
      <c r="AA49" s="151"/>
      <c r="AB49" s="116"/>
      <c r="AC49" s="39">
        <f>INDEX(HC!$C$6:$C$18,MATCH(Model!AC$8,HC!$B$6:$B$17,FALSE))</f>
        <v>3</v>
      </c>
      <c r="AD49" s="39">
        <f>INDEX(HC!$C$6:$C$18,MATCH(Model!AD$8,HC!$B$6:$B$17,FALSE))</f>
        <v>3</v>
      </c>
      <c r="AE49" s="39">
        <f>INDEX(HC!$C$6:$C$18,MATCH(Model!AE$8,HC!$B$6:$B$17,FALSE))</f>
        <v>3</v>
      </c>
      <c r="AF49" s="39">
        <f>INDEX(HC!$C$6:$C$18,MATCH(Model!AF$8,HC!$B$6:$B$17,FALSE))</f>
        <v>1</v>
      </c>
      <c r="AG49" s="39">
        <f>INDEX(HC!$C$6:$C$18,MATCH(Model!AG$8,HC!$B$6:$B$17,FALSE))</f>
        <v>1</v>
      </c>
      <c r="AH49" s="39">
        <f>INDEX(HC!$C$6:$C$18,MATCH(Model!AH$8,HC!$B$6:$B$17,FALSE))</f>
        <v>1</v>
      </c>
      <c r="AI49" s="39">
        <f>INDEX(HC!$C$6:$C$18,MATCH(Model!AI$8,HC!$B$6:$B$17,FALSE))</f>
        <v>1</v>
      </c>
      <c r="AJ49" s="39">
        <f>INDEX(HC!$C$6:$C$18,MATCH(Model!AJ$8,HC!$B$6:$B$17,FALSE))</f>
        <v>1</v>
      </c>
      <c r="AK49" s="39">
        <f>INDEX(HC!$C$6:$C$18,MATCH(Model!AK$8,HC!$B$6:$B$17,FALSE))</f>
        <v>1</v>
      </c>
      <c r="AL49" s="39">
        <f>INDEX(HC!$C$6:$C$18,MATCH(Model!AL$8,HC!$B$6:$B$17,FALSE))</f>
        <v>1</v>
      </c>
      <c r="AM49" s="39">
        <f>INDEX(HC!$C$6:$C$18,MATCH(Model!AM$8,HC!$B$6:$B$17,FALSE))</f>
        <v>1</v>
      </c>
      <c r="AN49" s="39">
        <f>INDEX(HC!$C$6:$C$18,MATCH(Model!AN$8,HC!$B$6:$B$17,FALSE))</f>
        <v>1</v>
      </c>
      <c r="AO49" s="33"/>
    </row>
    <row r="50" spans="2:41" s="49" customFormat="1" outlineLevel="2" x14ac:dyDescent="0.2">
      <c r="B50" s="39" t="s">
        <v>592</v>
      </c>
      <c r="C50" s="127">
        <v>0.67</v>
      </c>
      <c r="D50" s="127"/>
      <c r="E50" s="127"/>
      <c r="F50" s="127"/>
      <c r="G50" s="69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116"/>
      <c r="V50" s="151"/>
      <c r="W50" s="151"/>
      <c r="X50" s="151"/>
      <c r="Y50" s="151"/>
      <c r="Z50" s="151"/>
      <c r="AA50" s="151"/>
      <c r="AB50" s="116"/>
      <c r="AC50" s="49">
        <v>0</v>
      </c>
      <c r="AD50" s="49">
        <f>AC49</f>
        <v>3</v>
      </c>
      <c r="AE50" s="49">
        <f t="shared" ref="AE50:AN50" si="38">AD49</f>
        <v>3</v>
      </c>
      <c r="AF50" s="49">
        <f t="shared" si="38"/>
        <v>3</v>
      </c>
      <c r="AG50" s="49">
        <f t="shared" si="38"/>
        <v>1</v>
      </c>
      <c r="AH50" s="49">
        <f t="shared" si="38"/>
        <v>1</v>
      </c>
      <c r="AI50" s="49">
        <f t="shared" si="38"/>
        <v>1</v>
      </c>
      <c r="AJ50" s="49">
        <f t="shared" si="38"/>
        <v>1</v>
      </c>
      <c r="AK50" s="49">
        <f t="shared" si="38"/>
        <v>1</v>
      </c>
      <c r="AL50" s="49">
        <f t="shared" si="38"/>
        <v>1</v>
      </c>
      <c r="AM50" s="49">
        <f t="shared" si="38"/>
        <v>1</v>
      </c>
      <c r="AN50" s="49">
        <f t="shared" si="38"/>
        <v>1</v>
      </c>
      <c r="AO50" s="33"/>
    </row>
    <row r="51" spans="2:41" s="49" customFormat="1" outlineLevel="2" x14ac:dyDescent="0.2">
      <c r="B51" s="47" t="s">
        <v>591</v>
      </c>
      <c r="C51" s="128">
        <v>1</v>
      </c>
      <c r="D51" s="128"/>
      <c r="E51" s="128"/>
      <c r="F51" s="128"/>
      <c r="G51" s="69"/>
      <c r="H51" s="11">
        <v>12</v>
      </c>
      <c r="I51" s="11">
        <v>12</v>
      </c>
      <c r="J51" s="11">
        <v>12</v>
      </c>
      <c r="K51" s="11">
        <v>12</v>
      </c>
      <c r="L51" s="11">
        <v>12</v>
      </c>
      <c r="M51" s="11">
        <v>12</v>
      </c>
      <c r="N51" s="11">
        <v>12</v>
      </c>
      <c r="O51" s="11">
        <v>12</v>
      </c>
      <c r="P51" s="11">
        <v>12</v>
      </c>
      <c r="Q51" s="11">
        <v>12</v>
      </c>
      <c r="R51" s="11">
        <v>12</v>
      </c>
      <c r="S51" s="11">
        <v>12</v>
      </c>
      <c r="T51" s="57">
        <f>S51</f>
        <v>12</v>
      </c>
      <c r="U51" s="116"/>
      <c r="V51" s="151"/>
      <c r="W51" s="151"/>
      <c r="X51" s="151"/>
      <c r="Y51" s="151"/>
      <c r="Z51" s="151"/>
      <c r="AA51" s="151"/>
      <c r="AB51" s="116"/>
      <c r="AC51" s="11">
        <f t="shared" ref="AC51:AN51" si="39">AC52-SUM(AC49:AC50)</f>
        <v>0</v>
      </c>
      <c r="AD51" s="11">
        <f t="shared" si="39"/>
        <v>0</v>
      </c>
      <c r="AE51" s="11">
        <f t="shared" si="39"/>
        <v>3</v>
      </c>
      <c r="AF51" s="11">
        <f t="shared" si="39"/>
        <v>6</v>
      </c>
      <c r="AG51" s="11">
        <f t="shared" si="39"/>
        <v>9</v>
      </c>
      <c r="AH51" s="11">
        <f t="shared" si="39"/>
        <v>10</v>
      </c>
      <c r="AI51" s="11">
        <f t="shared" si="39"/>
        <v>11</v>
      </c>
      <c r="AJ51" s="11">
        <f t="shared" si="39"/>
        <v>12</v>
      </c>
      <c r="AK51" s="11">
        <f t="shared" si="39"/>
        <v>13</v>
      </c>
      <c r="AL51" s="11">
        <f t="shared" si="39"/>
        <v>14</v>
      </c>
      <c r="AM51" s="11">
        <f t="shared" si="39"/>
        <v>15</v>
      </c>
      <c r="AN51" s="11">
        <f t="shared" si="39"/>
        <v>16</v>
      </c>
      <c r="AO51" s="144"/>
    </row>
    <row r="52" spans="2:41" outlineLevel="2" x14ac:dyDescent="0.2">
      <c r="B52" s="23" t="s">
        <v>578</v>
      </c>
      <c r="C52" s="36"/>
      <c r="D52" s="36"/>
      <c r="E52" s="36"/>
      <c r="F52" s="36"/>
      <c r="G52" s="36"/>
      <c r="H52" s="39">
        <f t="shared" ref="H52:S52" si="40">H51</f>
        <v>12</v>
      </c>
      <c r="I52" s="39">
        <f t="shared" si="40"/>
        <v>12</v>
      </c>
      <c r="J52" s="39">
        <f t="shared" si="40"/>
        <v>12</v>
      </c>
      <c r="K52" s="39">
        <f t="shared" si="40"/>
        <v>12</v>
      </c>
      <c r="L52" s="39">
        <f t="shared" si="40"/>
        <v>12</v>
      </c>
      <c r="M52" s="39">
        <f t="shared" si="40"/>
        <v>12</v>
      </c>
      <c r="N52" s="39">
        <f t="shared" si="40"/>
        <v>12</v>
      </c>
      <c r="O52" s="39">
        <f t="shared" si="40"/>
        <v>12</v>
      </c>
      <c r="P52" s="39">
        <f t="shared" si="40"/>
        <v>12</v>
      </c>
      <c r="Q52" s="39">
        <f t="shared" si="40"/>
        <v>12</v>
      </c>
      <c r="R52" s="39">
        <f t="shared" si="40"/>
        <v>12</v>
      </c>
      <c r="S52" s="39">
        <f t="shared" si="40"/>
        <v>12</v>
      </c>
      <c r="T52" s="39">
        <f>S52</f>
        <v>12</v>
      </c>
      <c r="U52" s="116"/>
      <c r="V52" s="151"/>
      <c r="W52" s="151"/>
      <c r="X52" s="151"/>
      <c r="Y52" s="151"/>
      <c r="Z52" s="151"/>
      <c r="AA52" s="151"/>
      <c r="AB52" s="116"/>
      <c r="AC52" s="23">
        <f>AC49</f>
        <v>3</v>
      </c>
      <c r="AD52" s="23">
        <f t="shared" ref="AD52:AN52" si="41">AC52+AD49</f>
        <v>6</v>
      </c>
      <c r="AE52" s="23">
        <f t="shared" si="41"/>
        <v>9</v>
      </c>
      <c r="AF52" s="23">
        <f t="shared" si="41"/>
        <v>10</v>
      </c>
      <c r="AG52" s="23">
        <f t="shared" si="41"/>
        <v>11</v>
      </c>
      <c r="AH52" s="23">
        <f t="shared" si="41"/>
        <v>12</v>
      </c>
      <c r="AI52" s="23">
        <f t="shared" si="41"/>
        <v>13</v>
      </c>
      <c r="AJ52" s="23">
        <f t="shared" si="41"/>
        <v>14</v>
      </c>
      <c r="AK52" s="23">
        <f t="shared" si="41"/>
        <v>15</v>
      </c>
      <c r="AL52" s="23">
        <f t="shared" si="41"/>
        <v>16</v>
      </c>
      <c r="AM52" s="23">
        <f t="shared" si="41"/>
        <v>17</v>
      </c>
      <c r="AN52" s="23">
        <f t="shared" si="41"/>
        <v>18</v>
      </c>
      <c r="AO52" s="67">
        <f>AN52</f>
        <v>18</v>
      </c>
    </row>
    <row r="53" spans="2:41" s="37" customFormat="1" outlineLevel="2" x14ac:dyDescent="0.2">
      <c r="B53" s="37" t="s">
        <v>598</v>
      </c>
      <c r="C53" s="96"/>
      <c r="D53" s="96"/>
      <c r="E53" s="96"/>
      <c r="F53" s="96"/>
      <c r="G53" s="96"/>
      <c r="H53" s="97">
        <f t="shared" ref="H53:T53" si="42">(H49*$C$49)+(H50*$C$50)+(H51*$C$51)</f>
        <v>12</v>
      </c>
      <c r="I53" s="97">
        <f t="shared" si="42"/>
        <v>12</v>
      </c>
      <c r="J53" s="97">
        <f t="shared" si="42"/>
        <v>12</v>
      </c>
      <c r="K53" s="97">
        <f t="shared" si="42"/>
        <v>12</v>
      </c>
      <c r="L53" s="97">
        <f t="shared" si="42"/>
        <v>12</v>
      </c>
      <c r="M53" s="97">
        <f t="shared" si="42"/>
        <v>12</v>
      </c>
      <c r="N53" s="97">
        <f t="shared" si="42"/>
        <v>12</v>
      </c>
      <c r="O53" s="97">
        <f t="shared" si="42"/>
        <v>12</v>
      </c>
      <c r="P53" s="97">
        <f t="shared" si="42"/>
        <v>12</v>
      </c>
      <c r="Q53" s="97">
        <f t="shared" si="42"/>
        <v>12</v>
      </c>
      <c r="R53" s="97">
        <f t="shared" si="42"/>
        <v>12</v>
      </c>
      <c r="S53" s="97">
        <f t="shared" si="42"/>
        <v>12</v>
      </c>
      <c r="T53" s="97">
        <f t="shared" si="42"/>
        <v>12</v>
      </c>
      <c r="U53" s="165"/>
      <c r="V53" s="157"/>
      <c r="W53" s="157"/>
      <c r="X53" s="157"/>
      <c r="Y53" s="157"/>
      <c r="Z53" s="157"/>
      <c r="AA53" s="157"/>
      <c r="AB53" s="165"/>
      <c r="AC53" s="98">
        <f t="shared" ref="AC53:AN53" si="43">(AC49*$C$49)+(AC50*$C$50)+(AC51*$C$51)</f>
        <v>0.99</v>
      </c>
      <c r="AD53" s="98">
        <f t="shared" si="43"/>
        <v>3</v>
      </c>
      <c r="AE53" s="98">
        <f t="shared" si="43"/>
        <v>6</v>
      </c>
      <c r="AF53" s="98">
        <f t="shared" si="43"/>
        <v>8.34</v>
      </c>
      <c r="AG53" s="98">
        <f t="shared" si="43"/>
        <v>10</v>
      </c>
      <c r="AH53" s="99">
        <f t="shared" si="43"/>
        <v>11</v>
      </c>
      <c r="AI53" s="99">
        <f t="shared" si="43"/>
        <v>12</v>
      </c>
      <c r="AJ53" s="99">
        <f t="shared" si="43"/>
        <v>13</v>
      </c>
      <c r="AK53" s="99">
        <f t="shared" si="43"/>
        <v>14</v>
      </c>
      <c r="AL53" s="99">
        <f t="shared" si="43"/>
        <v>15</v>
      </c>
      <c r="AM53" s="99">
        <f t="shared" si="43"/>
        <v>16</v>
      </c>
      <c r="AN53" s="99">
        <f t="shared" si="43"/>
        <v>17</v>
      </c>
      <c r="AO53" s="145"/>
    </row>
    <row r="54" spans="2:41" s="36" customFormat="1" ht="7.75" customHeight="1" outlineLevel="2" x14ac:dyDescent="0.2">
      <c r="U54" s="116"/>
      <c r="V54" s="151"/>
      <c r="W54" s="151"/>
      <c r="X54" s="151"/>
      <c r="Y54" s="151"/>
      <c r="Z54" s="151"/>
      <c r="AA54" s="151"/>
      <c r="AB54" s="116"/>
    </row>
    <row r="55" spans="2:41" outlineLevel="2" x14ac:dyDescent="0.2">
      <c r="B55" s="23" t="s">
        <v>579</v>
      </c>
      <c r="H55" s="23">
        <f>H56-C56</f>
        <v>2</v>
      </c>
      <c r="I55" s="23">
        <f t="shared" ref="I55:S55" si="44">I56-H56</f>
        <v>0</v>
      </c>
      <c r="J55" s="23">
        <f t="shared" si="44"/>
        <v>0</v>
      </c>
      <c r="K55" s="23">
        <f t="shared" si="44"/>
        <v>0</v>
      </c>
      <c r="L55" s="23">
        <f t="shared" si="44"/>
        <v>0</v>
      </c>
      <c r="M55" s="23">
        <f t="shared" si="44"/>
        <v>0</v>
      </c>
      <c r="N55" s="23">
        <f t="shared" si="44"/>
        <v>0</v>
      </c>
      <c r="O55" s="23">
        <f t="shared" si="44"/>
        <v>0</v>
      </c>
      <c r="P55" s="23">
        <f t="shared" si="44"/>
        <v>0</v>
      </c>
      <c r="Q55" s="23">
        <f t="shared" si="44"/>
        <v>0</v>
      </c>
      <c r="R55" s="23">
        <f t="shared" si="44"/>
        <v>0</v>
      </c>
      <c r="S55" s="23">
        <f t="shared" si="44"/>
        <v>0</v>
      </c>
      <c r="U55" s="116"/>
      <c r="V55" s="151"/>
      <c r="W55" s="151"/>
      <c r="X55" s="151"/>
      <c r="Y55" s="151"/>
      <c r="Z55" s="151"/>
      <c r="AA55" s="151"/>
      <c r="AB55" s="116"/>
      <c r="AC55" s="39">
        <f>INDEX(HC!$E$6:$E$18,MATCH(Model!AC$8,HC!$B$6:$B$17,FALSE))</f>
        <v>1</v>
      </c>
      <c r="AD55" s="39">
        <f>INDEX(HC!$E$6:$E$18,MATCH(Model!AD$8,HC!$B$6:$B$17,FALSE))</f>
        <v>0</v>
      </c>
      <c r="AE55" s="39">
        <f>INDEX(HC!$E$6:$E$18,MATCH(Model!AE$8,HC!$B$6:$B$17,FALSE))</f>
        <v>1</v>
      </c>
      <c r="AF55" s="39">
        <f>INDEX(HC!$E$6:$E$18,MATCH(Model!AF$8,HC!$B$6:$B$17,FALSE))</f>
        <v>0</v>
      </c>
      <c r="AG55" s="39">
        <f>INDEX(HC!$E$6:$E$18,MATCH(Model!AG$8,HC!$B$6:$B$17,FALSE))</f>
        <v>0</v>
      </c>
      <c r="AH55" s="39">
        <f>INDEX(HC!$E$6:$E$18,MATCH(Model!AH$8,HC!$B$6:$B$17,FALSE))</f>
        <v>0</v>
      </c>
      <c r="AI55" s="39">
        <f>INDEX(HC!$E$6:$E$18,MATCH(Model!AI$8,HC!$B$6:$B$17,FALSE))</f>
        <v>1</v>
      </c>
      <c r="AJ55" s="39">
        <f>INDEX(HC!$E$6:$E$18,MATCH(Model!AJ$8,HC!$B$6:$B$17,FALSE))</f>
        <v>0</v>
      </c>
      <c r="AK55" s="39">
        <f>INDEX(HC!$E$6:$E$18,MATCH(Model!AK$8,HC!$B$6:$B$17,FALSE))</f>
        <v>0</v>
      </c>
      <c r="AL55" s="39">
        <f>INDEX(HC!$E$6:$E$18,MATCH(Model!AL$8,HC!$B$6:$B$17,FALSE))</f>
        <v>0</v>
      </c>
      <c r="AM55" s="39">
        <f>INDEX(HC!$E$6:$E$18,MATCH(Model!AM$8,HC!$B$6:$B$17,FALSE))</f>
        <v>0</v>
      </c>
      <c r="AN55" s="39">
        <f>INDEX(HC!$E$6:$E$18,MATCH(Model!AN$8,HC!$B$6:$B$17,FALSE))</f>
        <v>0</v>
      </c>
      <c r="AO55" s="33"/>
    </row>
    <row r="56" spans="2:41" outlineLevel="2" x14ac:dyDescent="0.2">
      <c r="B56" s="11" t="s">
        <v>599</v>
      </c>
      <c r="C56" s="11"/>
      <c r="D56" s="11"/>
      <c r="E56" s="11"/>
      <c r="F56" s="11"/>
      <c r="G56" s="11"/>
      <c r="H56" s="11">
        <f t="shared" ref="H56:S56" si="45">IF((H52/6)&lt;=1,1,IF((H52/6)&lt;=2,2,IF((H52/6)&lt;=3,3,IF((H52/6)&lt;=4,4))))</f>
        <v>2</v>
      </c>
      <c r="I56" s="11">
        <f t="shared" si="45"/>
        <v>2</v>
      </c>
      <c r="J56" s="11">
        <f t="shared" si="45"/>
        <v>2</v>
      </c>
      <c r="K56" s="11">
        <f t="shared" si="45"/>
        <v>2</v>
      </c>
      <c r="L56" s="11">
        <f t="shared" si="45"/>
        <v>2</v>
      </c>
      <c r="M56" s="11">
        <f t="shared" si="45"/>
        <v>2</v>
      </c>
      <c r="N56" s="11">
        <f t="shared" si="45"/>
        <v>2</v>
      </c>
      <c r="O56" s="11">
        <f t="shared" si="45"/>
        <v>2</v>
      </c>
      <c r="P56" s="11">
        <f t="shared" si="45"/>
        <v>2</v>
      </c>
      <c r="Q56" s="11">
        <f t="shared" si="45"/>
        <v>2</v>
      </c>
      <c r="R56" s="11">
        <f t="shared" si="45"/>
        <v>2</v>
      </c>
      <c r="S56" s="11">
        <f t="shared" si="45"/>
        <v>2</v>
      </c>
      <c r="T56" s="116">
        <f>S56</f>
        <v>2</v>
      </c>
      <c r="U56" s="116"/>
      <c r="V56" s="151"/>
      <c r="W56" s="151"/>
      <c r="X56" s="151"/>
      <c r="Y56" s="151"/>
      <c r="Z56" s="151"/>
      <c r="AA56" s="151"/>
      <c r="AB56" s="116"/>
      <c r="AC56" s="47">
        <f>INDEX(HC!$F$6:$F$18,MATCH(Model!AC$8,HC!$B$6:$B$17,FALSE))</f>
        <v>1</v>
      </c>
      <c r="AD56" s="47">
        <f>INDEX(HC!$F$6:$F$18,MATCH(Model!AD$8,HC!$B$6:$B$17,FALSE))</f>
        <v>1</v>
      </c>
      <c r="AE56" s="47">
        <f>INDEX(HC!$F$6:$F$18,MATCH(Model!AE$8,HC!$B$6:$B$17,FALSE))</f>
        <v>2</v>
      </c>
      <c r="AF56" s="47">
        <f>INDEX(HC!$F$6:$F$18,MATCH(Model!AF$8,HC!$B$6:$B$17,FALSE))</f>
        <v>2</v>
      </c>
      <c r="AG56" s="47">
        <f>INDEX(HC!$F$6:$F$18,MATCH(Model!AG$8,HC!$B$6:$B$17,FALSE))</f>
        <v>2</v>
      </c>
      <c r="AH56" s="47">
        <f>INDEX(HC!$F$6:$F$18,MATCH(Model!AH$8,HC!$B$6:$B$17,FALSE))</f>
        <v>2</v>
      </c>
      <c r="AI56" s="47">
        <f>INDEX(HC!$F$6:$F$18,MATCH(Model!AI$8,HC!$B$6:$B$17,FALSE))</f>
        <v>3</v>
      </c>
      <c r="AJ56" s="47">
        <f>INDEX(HC!$F$6:$F$18,MATCH(Model!AJ$8,HC!$B$6:$B$17,FALSE))</f>
        <v>3</v>
      </c>
      <c r="AK56" s="47">
        <f>INDEX(HC!$F$6:$F$18,MATCH(Model!AK$8,HC!$B$6:$B$17,FALSE))</f>
        <v>3</v>
      </c>
      <c r="AL56" s="47">
        <f>INDEX(HC!$F$6:$F$18,MATCH(Model!AL$8,HC!$B$6:$B$17,FALSE))</f>
        <v>3</v>
      </c>
      <c r="AM56" s="47">
        <f>INDEX(HC!$F$6:$F$18,MATCH(Model!AM$8,HC!$B$6:$B$17,FALSE))</f>
        <v>3</v>
      </c>
      <c r="AN56" s="47">
        <f>INDEX(HC!$F$6:$F$18,MATCH(Model!AN$8,HC!$B$6:$B$17,FALSE))</f>
        <v>3</v>
      </c>
      <c r="AO56" s="47">
        <f>AN56</f>
        <v>3</v>
      </c>
    </row>
    <row r="57" spans="2:41" outlineLevel="2" x14ac:dyDescent="0.2">
      <c r="B57" s="23" t="s">
        <v>586</v>
      </c>
      <c r="H57" s="23">
        <f t="shared" ref="H57:S57" si="46">H56+H52</f>
        <v>14</v>
      </c>
      <c r="I57" s="23">
        <f t="shared" si="46"/>
        <v>14</v>
      </c>
      <c r="J57" s="23">
        <f t="shared" si="46"/>
        <v>14</v>
      </c>
      <c r="K57" s="23">
        <f t="shared" si="46"/>
        <v>14</v>
      </c>
      <c r="L57" s="23">
        <f t="shared" si="46"/>
        <v>14</v>
      </c>
      <c r="M57" s="23">
        <f t="shared" si="46"/>
        <v>14</v>
      </c>
      <c r="N57" s="23">
        <f t="shared" si="46"/>
        <v>14</v>
      </c>
      <c r="O57" s="23">
        <f t="shared" si="46"/>
        <v>14</v>
      </c>
      <c r="P57" s="23">
        <f t="shared" si="46"/>
        <v>14</v>
      </c>
      <c r="Q57" s="23">
        <f t="shared" si="46"/>
        <v>14</v>
      </c>
      <c r="R57" s="23">
        <f t="shared" si="46"/>
        <v>14</v>
      </c>
      <c r="S57" s="23">
        <f t="shared" si="46"/>
        <v>14</v>
      </c>
      <c r="T57" s="67">
        <f>S57</f>
        <v>14</v>
      </c>
      <c r="U57" s="116"/>
      <c r="V57" s="151"/>
      <c r="W57" s="151"/>
      <c r="X57" s="151"/>
      <c r="Y57" s="151"/>
      <c r="Z57" s="151"/>
      <c r="AA57" s="151"/>
      <c r="AB57" s="116"/>
      <c r="AC57" s="23">
        <f t="shared" ref="AC57:AO57" si="47">AC56+AC52</f>
        <v>4</v>
      </c>
      <c r="AD57" s="23">
        <f t="shared" si="47"/>
        <v>7</v>
      </c>
      <c r="AE57" s="23">
        <f t="shared" si="47"/>
        <v>11</v>
      </c>
      <c r="AF57" s="23">
        <f t="shared" si="47"/>
        <v>12</v>
      </c>
      <c r="AG57" s="23">
        <f t="shared" si="47"/>
        <v>13</v>
      </c>
      <c r="AH57" s="23">
        <f t="shared" si="47"/>
        <v>14</v>
      </c>
      <c r="AI57" s="23">
        <f t="shared" si="47"/>
        <v>16</v>
      </c>
      <c r="AJ57" s="23">
        <f t="shared" si="47"/>
        <v>17</v>
      </c>
      <c r="AK57" s="23">
        <f t="shared" si="47"/>
        <v>18</v>
      </c>
      <c r="AL57" s="23">
        <f t="shared" si="47"/>
        <v>19</v>
      </c>
      <c r="AM57" s="23">
        <f t="shared" si="47"/>
        <v>20</v>
      </c>
      <c r="AN57" s="23">
        <f t="shared" si="47"/>
        <v>21</v>
      </c>
      <c r="AO57" s="67">
        <f t="shared" si="47"/>
        <v>21</v>
      </c>
    </row>
    <row r="58" spans="2:41" ht="10.5" customHeight="1" outlineLevel="1" x14ac:dyDescent="0.2">
      <c r="U58" s="116"/>
      <c r="V58" s="151"/>
      <c r="W58" s="151"/>
      <c r="X58" s="151"/>
      <c r="Y58" s="151"/>
      <c r="Z58" s="151"/>
      <c r="AA58" s="151"/>
      <c r="AB58" s="116"/>
    </row>
    <row r="59" spans="2:41" x14ac:dyDescent="0.2">
      <c r="B59" s="30" t="s">
        <v>557</v>
      </c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166"/>
      <c r="V59" s="158"/>
      <c r="W59" s="158"/>
      <c r="X59" s="158"/>
      <c r="Y59" s="158"/>
      <c r="Z59" s="158"/>
      <c r="AA59" s="158"/>
      <c r="AB59" s="166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</row>
    <row r="60" spans="2:41" s="91" customFormat="1" outlineLevel="1" x14ac:dyDescent="0.2">
      <c r="B60" s="90" t="s">
        <v>623</v>
      </c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134"/>
      <c r="V60" s="159"/>
      <c r="W60" s="159"/>
      <c r="X60" s="159"/>
      <c r="Y60" s="159"/>
      <c r="Z60" s="159"/>
      <c r="AA60" s="159"/>
      <c r="AB60" s="134"/>
      <c r="AC60" s="90"/>
      <c r="AD60" s="90"/>
      <c r="AE60" s="90"/>
      <c r="AF60" s="90"/>
      <c r="AG60" s="90"/>
      <c r="AH60" s="90"/>
      <c r="AI60" s="90"/>
      <c r="AJ60" s="90"/>
      <c r="AK60" s="90"/>
      <c r="AL60" s="90"/>
      <c r="AM60" s="90"/>
      <c r="AN60" s="90"/>
      <c r="AO60" s="90"/>
    </row>
    <row r="61" spans="2:41" s="91" customFormat="1" outlineLevel="1" x14ac:dyDescent="0.2">
      <c r="B61" s="91" t="s" vm="1595">
        <v>610</v>
      </c>
      <c r="C61" s="90"/>
      <c r="D61" s="90"/>
      <c r="E61" s="90"/>
      <c r="F61" s="90"/>
      <c r="G61" s="90"/>
      <c r="H61" s="94">
        <f t="shared" ref="H61:S61" si="48">H14*H$52*H29</f>
        <v>54739.079999999994</v>
      </c>
      <c r="I61" s="94">
        <f t="shared" si="48"/>
        <v>96540.6</v>
      </c>
      <c r="J61" s="94">
        <f t="shared" si="48"/>
        <v>65843.399999999994</v>
      </c>
      <c r="K61" s="94">
        <f t="shared" si="48"/>
        <v>61092.536</v>
      </c>
      <c r="L61" s="94">
        <f t="shared" si="48"/>
        <v>33601.3632</v>
      </c>
      <c r="M61" s="94">
        <f t="shared" si="48"/>
        <v>58497.570000000007</v>
      </c>
      <c r="N61" s="94">
        <f t="shared" si="48"/>
        <v>48191.426999999996</v>
      </c>
      <c r="O61" s="94">
        <f t="shared" si="48"/>
        <v>45393.047519999993</v>
      </c>
      <c r="P61" s="94">
        <f t="shared" si="48"/>
        <v>87465.583200000008</v>
      </c>
      <c r="Q61" s="94">
        <f t="shared" si="48"/>
        <v>59802.038399999998</v>
      </c>
      <c r="R61" s="94">
        <f t="shared" si="48"/>
        <v>34546.800000000003</v>
      </c>
      <c r="S61" s="94">
        <f t="shared" si="48"/>
        <v>61989.203135999996</v>
      </c>
      <c r="T61" s="94">
        <f t="shared" ref="T61:T64" si="49">SUM(H61:S61)</f>
        <v>707702.64845600002</v>
      </c>
      <c r="U61" s="134"/>
      <c r="V61" s="159"/>
      <c r="W61" s="159"/>
      <c r="X61" s="159"/>
      <c r="Y61" s="159"/>
      <c r="Z61" s="159"/>
      <c r="AA61" s="159"/>
      <c r="AB61" s="134"/>
      <c r="AC61" s="125">
        <f t="shared" ref="AC61:AN61" si="50">AC29*AC$53*AC14</f>
        <v>4878.6477271813419</v>
      </c>
      <c r="AD61" s="125">
        <f t="shared" si="50"/>
        <v>14783.780991458611</v>
      </c>
      <c r="AE61" s="125">
        <f t="shared" si="50"/>
        <v>29567.561982917221</v>
      </c>
      <c r="AF61" s="125">
        <f t="shared" si="50"/>
        <v>41098.911156254937</v>
      </c>
      <c r="AG61" s="125">
        <f t="shared" si="50"/>
        <v>51743.233470105144</v>
      </c>
      <c r="AH61" s="125">
        <f t="shared" si="50"/>
        <v>56917.556817115656</v>
      </c>
      <c r="AI61" s="125">
        <f t="shared" si="50"/>
        <v>62683.231403784514</v>
      </c>
      <c r="AJ61" s="125">
        <f t="shared" si="50"/>
        <v>68547.46453039645</v>
      </c>
      <c r="AK61" s="125">
        <f t="shared" si="50"/>
        <v>74510.256196951392</v>
      </c>
      <c r="AL61" s="125">
        <f t="shared" si="50"/>
        <v>80571.606403449419</v>
      </c>
      <c r="AM61" s="125">
        <f t="shared" si="50"/>
        <v>86731.515149890518</v>
      </c>
      <c r="AN61" s="125">
        <f t="shared" si="50"/>
        <v>92989.982436274673</v>
      </c>
      <c r="AO61" s="125">
        <f>SUM(AC61:AN61)</f>
        <v>665023.74826577981</v>
      </c>
    </row>
    <row r="62" spans="2:41" s="91" customFormat="1" outlineLevel="1" x14ac:dyDescent="0.2">
      <c r="B62" s="91" t="s" vm="1594">
        <v>611</v>
      </c>
      <c r="C62" s="90"/>
      <c r="D62" s="90"/>
      <c r="E62" s="90"/>
      <c r="F62" s="90"/>
      <c r="G62" s="90"/>
      <c r="H62" s="94">
        <f t="shared" ref="H62:S62" si="51">H15*H$52*H30</f>
        <v>55556.800000000003</v>
      </c>
      <c r="I62" s="94">
        <f t="shared" si="51"/>
        <v>58119.380735999999</v>
      </c>
      <c r="J62" s="94">
        <f t="shared" si="51"/>
        <v>69700.761839999992</v>
      </c>
      <c r="K62" s="94">
        <f t="shared" si="51"/>
        <v>135174.96360000002</v>
      </c>
      <c r="L62" s="94">
        <f t="shared" si="51"/>
        <v>88554.241199999989</v>
      </c>
      <c r="M62" s="94">
        <f t="shared" si="51"/>
        <v>107300.7444</v>
      </c>
      <c r="N62" s="94">
        <f t="shared" si="51"/>
        <v>68686.573600000003</v>
      </c>
      <c r="O62" s="94">
        <f t="shared" si="51"/>
        <v>78234.095759999997</v>
      </c>
      <c r="P62" s="94">
        <f t="shared" si="51"/>
        <v>75945.239999999991</v>
      </c>
      <c r="Q62" s="94">
        <f t="shared" si="51"/>
        <v>137688.62</v>
      </c>
      <c r="R62" s="94">
        <f t="shared" si="51"/>
        <v>130064.37039999999</v>
      </c>
      <c r="S62" s="94">
        <f t="shared" si="51"/>
        <v>78206.924495999992</v>
      </c>
      <c r="T62" s="94">
        <f t="shared" si="49"/>
        <v>1083232.716032</v>
      </c>
      <c r="U62" s="134"/>
      <c r="V62" s="159"/>
      <c r="W62" s="159"/>
      <c r="X62" s="159"/>
      <c r="Y62" s="159"/>
      <c r="Z62" s="159"/>
      <c r="AA62" s="159"/>
      <c r="AB62" s="134"/>
      <c r="AC62" s="125">
        <f t="shared" ref="AC62:AN62" si="52">AC30*AC$53*AC15</f>
        <v>7492.8527226655524</v>
      </c>
      <c r="AD62" s="125">
        <f t="shared" si="52"/>
        <v>22705.614311107736</v>
      </c>
      <c r="AE62" s="125">
        <f t="shared" si="52"/>
        <v>45411.228622215473</v>
      </c>
      <c r="AF62" s="125">
        <f t="shared" si="52"/>
        <v>63121.607784879503</v>
      </c>
      <c r="AG62" s="125">
        <f t="shared" si="52"/>
        <v>79469.650088877082</v>
      </c>
      <c r="AH62" s="125">
        <f t="shared" si="52"/>
        <v>87416.615097764792</v>
      </c>
      <c r="AI62" s="125">
        <f t="shared" si="52"/>
        <v>96271.804679096807</v>
      </c>
      <c r="AJ62" s="125">
        <f t="shared" si="52"/>
        <v>105278.36502250288</v>
      </c>
      <c r="AK62" s="125">
        <f t="shared" si="52"/>
        <v>114436.29612798299</v>
      </c>
      <c r="AL62" s="125">
        <f t="shared" si="52"/>
        <v>123745.59799553716</v>
      </c>
      <c r="AM62" s="125">
        <f t="shared" si="52"/>
        <v>133206.2706251654</v>
      </c>
      <c r="AN62" s="125">
        <f t="shared" si="52"/>
        <v>142818.31401686766</v>
      </c>
      <c r="AO62" s="125">
        <f t="shared" ref="AO62:AO64" si="53">SUM(AC62:AN62)</f>
        <v>1021374.2170946631</v>
      </c>
    </row>
    <row r="63" spans="2:41" s="91" customFormat="1" outlineLevel="1" x14ac:dyDescent="0.2">
      <c r="B63" s="91" t="s" vm="1598">
        <v>612</v>
      </c>
      <c r="C63" s="90"/>
      <c r="D63" s="90"/>
      <c r="E63" s="90"/>
      <c r="F63" s="90"/>
      <c r="G63" s="90"/>
      <c r="H63" s="94">
        <f t="shared" ref="H63:S63" si="54">H16*H$52*H31</f>
        <v>83620.478399999993</v>
      </c>
      <c r="I63" s="94">
        <f t="shared" si="54"/>
        <v>12408</v>
      </c>
      <c r="J63" s="94">
        <f t="shared" si="54"/>
        <v>45334.8</v>
      </c>
      <c r="K63" s="94">
        <f t="shared" si="54"/>
        <v>71100</v>
      </c>
      <c r="L63" s="94">
        <f t="shared" si="54"/>
        <v>165160.26</v>
      </c>
      <c r="M63" s="94">
        <f t="shared" si="54"/>
        <v>148238.55839999998</v>
      </c>
      <c r="N63" s="94">
        <f t="shared" si="54"/>
        <v>98167.12</v>
      </c>
      <c r="O63" s="94">
        <f t="shared" si="54"/>
        <v>37060</v>
      </c>
      <c r="P63" s="94">
        <f t="shared" si="54"/>
        <v>127809.60000000001</v>
      </c>
      <c r="Q63" s="94">
        <f t="shared" si="54"/>
        <v>98666.176000000007</v>
      </c>
      <c r="R63" s="94">
        <f t="shared" si="54"/>
        <v>105613.04000000001</v>
      </c>
      <c r="S63" s="94">
        <f t="shared" si="54"/>
        <v>78684.87999999999</v>
      </c>
      <c r="T63" s="94">
        <f t="shared" si="49"/>
        <v>1071862.9127999998</v>
      </c>
      <c r="U63" s="134"/>
      <c r="V63" s="159"/>
      <c r="W63" s="159"/>
      <c r="X63" s="159"/>
      <c r="Y63" s="159"/>
      <c r="Z63" s="159"/>
      <c r="AA63" s="159"/>
      <c r="AB63" s="134"/>
      <c r="AC63" s="125">
        <f t="shared" ref="AC63:AN63" si="55">AC31*AC$53*AC16</f>
        <v>7405.0390989791649</v>
      </c>
      <c r="AD63" s="125">
        <f t="shared" si="55"/>
        <v>22439.512421148986</v>
      </c>
      <c r="AE63" s="125">
        <f t="shared" si="55"/>
        <v>44879.024842297971</v>
      </c>
      <c r="AF63" s="125">
        <f t="shared" si="55"/>
        <v>62381.84453079418</v>
      </c>
      <c r="AG63" s="125">
        <f t="shared" si="55"/>
        <v>78538.293474021455</v>
      </c>
      <c r="AH63" s="125">
        <f t="shared" si="55"/>
        <v>86392.122821423589</v>
      </c>
      <c r="AI63" s="125">
        <f t="shared" si="55"/>
        <v>95143.532665671693</v>
      </c>
      <c r="AJ63" s="125">
        <f t="shared" si="55"/>
        <v>104044.53925939414</v>
      </c>
      <c r="AK63" s="125">
        <f t="shared" si="55"/>
        <v>113095.14260259089</v>
      </c>
      <c r="AL63" s="125">
        <f t="shared" si="55"/>
        <v>122295.34269526198</v>
      </c>
      <c r="AM63" s="125">
        <f t="shared" si="55"/>
        <v>131645.13953740738</v>
      </c>
      <c r="AN63" s="125">
        <f t="shared" si="55"/>
        <v>141144.53312902714</v>
      </c>
      <c r="AO63" s="125">
        <f t="shared" si="53"/>
        <v>1009404.0670780186</v>
      </c>
    </row>
    <row r="64" spans="2:41" s="91" customFormat="1" outlineLevel="1" x14ac:dyDescent="0.2">
      <c r="B64" s="132" t="s" vm="1596">
        <v>613</v>
      </c>
      <c r="C64" s="134"/>
      <c r="D64" s="134"/>
      <c r="E64" s="134"/>
      <c r="F64" s="134"/>
      <c r="G64" s="134"/>
      <c r="H64" s="94">
        <f t="shared" ref="H64:S64" si="56">H17*H$52*H32</f>
        <v>20000</v>
      </c>
      <c r="I64" s="94">
        <f t="shared" si="56"/>
        <v>28005.120000000003</v>
      </c>
      <c r="J64" s="94">
        <f t="shared" si="56"/>
        <v>0</v>
      </c>
      <c r="K64" s="94">
        <f t="shared" si="56"/>
        <v>69300.000000000015</v>
      </c>
      <c r="L64" s="94">
        <f t="shared" si="56"/>
        <v>0</v>
      </c>
      <c r="M64" s="94">
        <f t="shared" si="56"/>
        <v>61080</v>
      </c>
      <c r="N64" s="94">
        <f t="shared" si="56"/>
        <v>104760.72000000002</v>
      </c>
      <c r="O64" s="94">
        <f t="shared" si="56"/>
        <v>70974.748800000001</v>
      </c>
      <c r="P64" s="94">
        <f t="shared" si="56"/>
        <v>119442.72</v>
      </c>
      <c r="Q64" s="94">
        <f t="shared" si="56"/>
        <v>0</v>
      </c>
      <c r="R64" s="94">
        <f t="shared" si="56"/>
        <v>40824</v>
      </c>
      <c r="S64" s="94">
        <f t="shared" si="56"/>
        <v>24010.800000000003</v>
      </c>
      <c r="T64" s="141">
        <f t="shared" si="49"/>
        <v>538398.10880000005</v>
      </c>
      <c r="U64" s="134"/>
      <c r="V64" s="159"/>
      <c r="W64" s="159"/>
      <c r="X64" s="159"/>
      <c r="Y64" s="159"/>
      <c r="Z64" s="159"/>
      <c r="AA64" s="159"/>
      <c r="AB64" s="134"/>
      <c r="AC64" s="125">
        <f t="shared" ref="AC64:AN64" si="57">AC32*AC$53*AC17</f>
        <v>2747.9624864999996</v>
      </c>
      <c r="AD64" s="125">
        <f t="shared" si="57"/>
        <v>8327.1590499999984</v>
      </c>
      <c r="AE64" s="125">
        <f t="shared" si="57"/>
        <v>16654.318099999997</v>
      </c>
      <c r="AF64" s="125">
        <f t="shared" si="57"/>
        <v>23149.502158999996</v>
      </c>
      <c r="AG64" s="125">
        <f t="shared" si="57"/>
        <v>29145.056674999993</v>
      </c>
      <c r="AH64" s="125">
        <f t="shared" si="57"/>
        <v>32059.562342499994</v>
      </c>
      <c r="AI64" s="125">
        <f t="shared" si="57"/>
        <v>35307.154371999997</v>
      </c>
      <c r="AJ64" s="125">
        <f t="shared" si="57"/>
        <v>38610.260795166658</v>
      </c>
      <c r="AK64" s="125">
        <f t="shared" si="57"/>
        <v>41968.881611999997</v>
      </c>
      <c r="AL64" s="125">
        <f t="shared" si="57"/>
        <v>45383.016822499987</v>
      </c>
      <c r="AM64" s="125">
        <f t="shared" si="57"/>
        <v>48852.666426666656</v>
      </c>
      <c r="AN64" s="125">
        <f t="shared" si="57"/>
        <v>52377.830424499996</v>
      </c>
      <c r="AO64" s="142">
        <f t="shared" si="53"/>
        <v>374583.37126583327</v>
      </c>
    </row>
    <row r="65" spans="2:43" s="91" customFormat="1" x14ac:dyDescent="0.2">
      <c r="B65" s="136" t="s">
        <v>640</v>
      </c>
      <c r="C65" s="137"/>
      <c r="D65" s="137"/>
      <c r="E65" s="137"/>
      <c r="F65" s="137"/>
      <c r="G65" s="137"/>
      <c r="H65" s="138">
        <f>SUM(H61:H64)</f>
        <v>213916.3584</v>
      </c>
      <c r="I65" s="138">
        <f t="shared" ref="I65:S65" si="58">SUM(I61:I64)</f>
        <v>195073.10073599999</v>
      </c>
      <c r="J65" s="138">
        <f t="shared" si="58"/>
        <v>180878.96184</v>
      </c>
      <c r="K65" s="138">
        <f t="shared" si="58"/>
        <v>336667.49959999998</v>
      </c>
      <c r="L65" s="138">
        <f t="shared" si="58"/>
        <v>287315.86439999996</v>
      </c>
      <c r="M65" s="138">
        <f t="shared" si="58"/>
        <v>375116.87280000001</v>
      </c>
      <c r="N65" s="138">
        <f t="shared" si="58"/>
        <v>319805.8406</v>
      </c>
      <c r="O65" s="138">
        <f t="shared" si="58"/>
        <v>231661.89207999999</v>
      </c>
      <c r="P65" s="138">
        <f t="shared" si="58"/>
        <v>410663.14319999993</v>
      </c>
      <c r="Q65" s="138">
        <f t="shared" si="58"/>
        <v>296156.83439999999</v>
      </c>
      <c r="R65" s="138">
        <f t="shared" si="58"/>
        <v>311048.21039999998</v>
      </c>
      <c r="S65" s="138">
        <f t="shared" si="58"/>
        <v>242891.80763199995</v>
      </c>
      <c r="T65" s="138">
        <f>SUM(H65:S65)</f>
        <v>3401196.3860879997</v>
      </c>
      <c r="U65" s="134"/>
      <c r="V65" s="159"/>
      <c r="W65" s="159"/>
      <c r="X65" s="159"/>
      <c r="Y65" s="159"/>
      <c r="Z65" s="159"/>
      <c r="AA65" s="159"/>
      <c r="AB65" s="134"/>
      <c r="AC65" s="143">
        <f>SUM(AC61:AC64)</f>
        <v>22524.502035326062</v>
      </c>
      <c r="AD65" s="143">
        <f t="shared" ref="AD65:AO65" si="59">SUM(AD61:AD64)</f>
        <v>68256.066773715342</v>
      </c>
      <c r="AE65" s="143">
        <f t="shared" si="59"/>
        <v>136512.13354743068</v>
      </c>
      <c r="AF65" s="143">
        <f t="shared" si="59"/>
        <v>189751.86563092863</v>
      </c>
      <c r="AG65" s="143">
        <f t="shared" si="59"/>
        <v>238896.23370800368</v>
      </c>
      <c r="AH65" s="143">
        <f t="shared" si="59"/>
        <v>262785.85707880405</v>
      </c>
      <c r="AI65" s="143">
        <f t="shared" si="59"/>
        <v>289405.72312055301</v>
      </c>
      <c r="AJ65" s="143">
        <f t="shared" si="59"/>
        <v>316480.62960746017</v>
      </c>
      <c r="AK65" s="143">
        <f t="shared" si="59"/>
        <v>344010.5765395253</v>
      </c>
      <c r="AL65" s="143">
        <f t="shared" si="59"/>
        <v>371995.56391674856</v>
      </c>
      <c r="AM65" s="143">
        <f t="shared" si="59"/>
        <v>400435.59173912997</v>
      </c>
      <c r="AN65" s="143">
        <f t="shared" si="59"/>
        <v>429330.66000666947</v>
      </c>
      <c r="AO65" s="140">
        <f t="shared" si="59"/>
        <v>3070385.4037042949</v>
      </c>
      <c r="AP65" s="93"/>
      <c r="AQ65" s="93"/>
    </row>
    <row r="66" spans="2:43" s="91" customFormat="1" ht="7.25" customHeight="1" x14ac:dyDescent="0.2"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134"/>
      <c r="V66" s="159"/>
      <c r="W66" s="159"/>
      <c r="X66" s="159"/>
      <c r="Y66" s="159"/>
      <c r="Z66" s="159"/>
      <c r="AA66" s="159"/>
      <c r="AB66" s="134"/>
      <c r="AC66" s="90"/>
      <c r="AD66" s="90"/>
      <c r="AE66" s="90"/>
      <c r="AF66" s="90"/>
      <c r="AG66" s="90"/>
      <c r="AH66" s="90"/>
      <c r="AI66" s="90"/>
      <c r="AJ66" s="90"/>
      <c r="AK66" s="90"/>
      <c r="AL66" s="90"/>
      <c r="AM66" s="90"/>
      <c r="AN66" s="90"/>
      <c r="AO66" s="90"/>
    </row>
    <row r="67" spans="2:43" s="91" customFormat="1" x14ac:dyDescent="0.2">
      <c r="B67" s="90" t="s">
        <v>684</v>
      </c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134"/>
      <c r="V67" s="159"/>
      <c r="W67" s="159"/>
      <c r="X67" s="159"/>
      <c r="Y67" s="159"/>
      <c r="Z67" s="159"/>
      <c r="AA67" s="159"/>
      <c r="AB67" s="134"/>
      <c r="AC67" s="92">
        <f>AC21</f>
        <v>3.6162500000000004</v>
      </c>
      <c r="AD67" s="92">
        <f t="shared" ref="AD67:AN67" si="60">AD21</f>
        <v>10.958333333333334</v>
      </c>
      <c r="AE67" s="92">
        <f t="shared" si="60"/>
        <v>21.916666666666668</v>
      </c>
      <c r="AF67" s="92">
        <f t="shared" si="60"/>
        <v>30.464166666666667</v>
      </c>
      <c r="AG67" s="92">
        <f t="shared" si="60"/>
        <v>38.354166666666679</v>
      </c>
      <c r="AH67" s="92">
        <f t="shared" si="60"/>
        <v>42.189583333333346</v>
      </c>
      <c r="AI67" s="92">
        <f t="shared" si="60"/>
        <v>46.463333333333345</v>
      </c>
      <c r="AJ67" s="92">
        <f t="shared" si="60"/>
        <v>50.810138888888901</v>
      </c>
      <c r="AK67" s="92">
        <f t="shared" si="60"/>
        <v>55.230000000000004</v>
      </c>
      <c r="AL67" s="92">
        <f t="shared" si="60"/>
        <v>59.72291666666667</v>
      </c>
      <c r="AM67" s="92">
        <f t="shared" si="60"/>
        <v>64.288888888888906</v>
      </c>
      <c r="AN67" s="92">
        <f t="shared" si="60"/>
        <v>68.92791666666669</v>
      </c>
      <c r="AO67" s="92">
        <f>SUM(AC67:AN67)</f>
        <v>492.94236111111115</v>
      </c>
    </row>
    <row r="68" spans="2:43" s="91" customFormat="1" x14ac:dyDescent="0.2">
      <c r="B68" s="90" t="s">
        <v>685</v>
      </c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134"/>
      <c r="V68" s="159"/>
      <c r="W68" s="159"/>
      <c r="X68" s="159"/>
      <c r="Y68" s="159"/>
      <c r="Z68" s="159"/>
      <c r="AA68" s="159"/>
      <c r="AB68" s="134"/>
      <c r="AC68" s="92">
        <f>AC23</f>
        <v>3.6162500000000004</v>
      </c>
      <c r="AD68" s="92">
        <f t="shared" ref="AD68:AN68" si="61">AD23</f>
        <v>14.574583333333335</v>
      </c>
      <c r="AE68" s="92">
        <f>AE23</f>
        <v>36.491250000000001</v>
      </c>
      <c r="AF68" s="92">
        <f t="shared" si="61"/>
        <v>66.955416666666665</v>
      </c>
      <c r="AG68" s="92">
        <f t="shared" si="61"/>
        <v>105.30958333333334</v>
      </c>
      <c r="AH68" s="92">
        <f t="shared" si="61"/>
        <v>147.49916666666667</v>
      </c>
      <c r="AI68" s="92">
        <f t="shared" si="61"/>
        <v>193.96250000000001</v>
      </c>
      <c r="AJ68" s="92">
        <f t="shared" si="61"/>
        <v>244.77263888888891</v>
      </c>
      <c r="AK68" s="92">
        <f t="shared" si="61"/>
        <v>300.0026388888889</v>
      </c>
      <c r="AL68" s="92">
        <f t="shared" si="61"/>
        <v>359.72555555555556</v>
      </c>
      <c r="AM68" s="92">
        <f t="shared" si="61"/>
        <v>424.01444444444445</v>
      </c>
      <c r="AN68" s="92">
        <f t="shared" si="61"/>
        <v>492.94236111111115</v>
      </c>
      <c r="AO68" s="92">
        <f>AN68</f>
        <v>492.94236111111115</v>
      </c>
    </row>
    <row r="69" spans="2:43" s="91" customFormat="1" ht="7.25" customHeight="1" x14ac:dyDescent="0.2"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134"/>
      <c r="V69" s="159"/>
      <c r="W69" s="159"/>
      <c r="X69" s="159"/>
      <c r="Y69" s="159"/>
      <c r="Z69" s="159"/>
      <c r="AA69" s="159"/>
      <c r="AB69" s="134"/>
      <c r="AC69" s="90"/>
      <c r="AD69" s="90"/>
      <c r="AE69" s="90"/>
      <c r="AF69" s="90"/>
      <c r="AG69" s="90"/>
      <c r="AH69" s="90"/>
      <c r="AI69" s="90"/>
      <c r="AJ69" s="90"/>
      <c r="AK69" s="90"/>
      <c r="AL69" s="90"/>
      <c r="AM69" s="90"/>
      <c r="AN69" s="90"/>
      <c r="AO69" s="90"/>
    </row>
    <row r="70" spans="2:43" s="91" customFormat="1" outlineLevel="1" x14ac:dyDescent="0.2">
      <c r="B70" s="90" t="s">
        <v>632</v>
      </c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134"/>
      <c r="V70" s="159"/>
      <c r="W70" s="159"/>
      <c r="X70" s="159"/>
      <c r="Y70" s="159"/>
      <c r="Z70" s="159"/>
      <c r="AA70" s="159"/>
      <c r="AB70" s="134"/>
      <c r="AC70" s="90"/>
      <c r="AD70" s="90"/>
      <c r="AE70" s="90"/>
      <c r="AF70" s="90"/>
      <c r="AG70" s="90"/>
      <c r="AH70" s="90"/>
      <c r="AI70" s="90"/>
      <c r="AJ70" s="90"/>
      <c r="AK70" s="90"/>
      <c r="AL70" s="90"/>
      <c r="AM70" s="90"/>
      <c r="AN70" s="90"/>
      <c r="AO70" s="90"/>
    </row>
    <row r="71" spans="2:43" s="91" customFormat="1" outlineLevel="1" x14ac:dyDescent="0.2">
      <c r="B71" s="91" t="s" vm="1595">
        <v>610</v>
      </c>
      <c r="C71" s="90"/>
      <c r="D71" s="90"/>
      <c r="E71" s="90"/>
      <c r="F71" s="90"/>
      <c r="G71" s="90"/>
      <c r="H71" s="125">
        <f>H61/H$36</f>
        <v>4561.5899999999992</v>
      </c>
      <c r="I71" s="125">
        <f t="shared" ref="H71:S71" si="62">I61/I$36</f>
        <v>8045.05</v>
      </c>
      <c r="J71" s="125">
        <f t="shared" si="62"/>
        <v>5486.95</v>
      </c>
      <c r="K71" s="125">
        <f t="shared" si="62"/>
        <v>5091.0446666666667</v>
      </c>
      <c r="L71" s="125">
        <f t="shared" si="62"/>
        <v>2800.1136000000001</v>
      </c>
      <c r="M71" s="125">
        <f t="shared" si="62"/>
        <v>4874.7975000000006</v>
      </c>
      <c r="N71" s="125">
        <f t="shared" si="62"/>
        <v>4015.9522499999998</v>
      </c>
      <c r="O71" s="125">
        <f t="shared" si="62"/>
        <v>3782.7539599999996</v>
      </c>
      <c r="P71" s="125">
        <f t="shared" si="62"/>
        <v>7288.798600000001</v>
      </c>
      <c r="Q71" s="125">
        <f t="shared" si="62"/>
        <v>4983.5032000000001</v>
      </c>
      <c r="R71" s="125">
        <f t="shared" si="62"/>
        <v>2878.9</v>
      </c>
      <c r="S71" s="125">
        <f t="shared" si="62"/>
        <v>5165.766928</v>
      </c>
      <c r="T71" s="125">
        <f>SUM(H71:S71)</f>
        <v>58975.220704666666</v>
      </c>
      <c r="U71" s="134"/>
      <c r="V71" s="159"/>
      <c r="W71" s="159"/>
      <c r="X71" s="159"/>
      <c r="Y71" s="159"/>
      <c r="Z71" s="159"/>
      <c r="AA71" s="159"/>
      <c r="AB71" s="134"/>
      <c r="AC71" s="125">
        <f t="shared" ref="AC71:AN71" si="63">AC61/AC$36</f>
        <v>406.55397726511183</v>
      </c>
      <c r="AD71" s="125">
        <f t="shared" si="63"/>
        <v>1231.9817492882175</v>
      </c>
      <c r="AE71" s="125">
        <f t="shared" si="63"/>
        <v>2463.9634985764351</v>
      </c>
      <c r="AF71" s="125">
        <f t="shared" si="63"/>
        <v>3424.9092630212449</v>
      </c>
      <c r="AG71" s="125">
        <f t="shared" si="63"/>
        <v>4311.9361225087623</v>
      </c>
      <c r="AH71" s="125">
        <f t="shared" si="63"/>
        <v>4743.1297347596383</v>
      </c>
      <c r="AI71" s="125">
        <f t="shared" si="63"/>
        <v>5223.6026169820425</v>
      </c>
      <c r="AJ71" s="125">
        <f t="shared" si="63"/>
        <v>5712.2887108663708</v>
      </c>
      <c r="AK71" s="125">
        <f t="shared" si="63"/>
        <v>6209.188016412616</v>
      </c>
      <c r="AL71" s="125">
        <f t="shared" si="63"/>
        <v>6714.3005336207852</v>
      </c>
      <c r="AM71" s="125">
        <f t="shared" si="63"/>
        <v>7227.6262624908768</v>
      </c>
      <c r="AN71" s="125">
        <f t="shared" si="63"/>
        <v>7749.1652030228897</v>
      </c>
      <c r="AO71" s="125">
        <f>SUM(AC71:AN71)</f>
        <v>55418.645688814991</v>
      </c>
    </row>
    <row r="72" spans="2:43" s="91" customFormat="1" outlineLevel="1" x14ac:dyDescent="0.2">
      <c r="B72" s="91" t="s" vm="1594">
        <v>611</v>
      </c>
      <c r="C72" s="90"/>
      <c r="D72" s="90"/>
      <c r="E72" s="90"/>
      <c r="F72" s="90"/>
      <c r="G72" s="90"/>
      <c r="H72" s="125">
        <f t="shared" ref="H72:S72" si="64">H62/H$36</f>
        <v>4629.7333333333336</v>
      </c>
      <c r="I72" s="125">
        <f t="shared" si="64"/>
        <v>4843.2817279999999</v>
      </c>
      <c r="J72" s="125">
        <f t="shared" si="64"/>
        <v>5808.396819999999</v>
      </c>
      <c r="K72" s="125">
        <f t="shared" si="64"/>
        <v>11264.580300000001</v>
      </c>
      <c r="L72" s="125">
        <f t="shared" si="64"/>
        <v>7379.5200999999988</v>
      </c>
      <c r="M72" s="125">
        <f t="shared" si="64"/>
        <v>8941.7286999999997</v>
      </c>
      <c r="N72" s="125">
        <f t="shared" si="64"/>
        <v>5723.8811333333333</v>
      </c>
      <c r="O72" s="125">
        <f t="shared" si="64"/>
        <v>6519.5079799999994</v>
      </c>
      <c r="P72" s="125">
        <f t="shared" si="64"/>
        <v>6328.7699999999995</v>
      </c>
      <c r="Q72" s="125">
        <f t="shared" si="64"/>
        <v>11474.051666666666</v>
      </c>
      <c r="R72" s="125">
        <f t="shared" si="64"/>
        <v>10838.697533333332</v>
      </c>
      <c r="S72" s="125">
        <f t="shared" si="64"/>
        <v>6517.2437079999991</v>
      </c>
      <c r="T72" s="125">
        <f>SUM(H72:S72)</f>
        <v>90269.393002666649</v>
      </c>
      <c r="U72" s="134"/>
      <c r="V72" s="159"/>
      <c r="W72" s="159"/>
      <c r="X72" s="159"/>
      <c r="Y72" s="159"/>
      <c r="Z72" s="159"/>
      <c r="AA72" s="159"/>
      <c r="AB72" s="134"/>
      <c r="AC72" s="125">
        <f t="shared" ref="AC72:AN72" si="65">AC62/AC$36</f>
        <v>624.40439355546266</v>
      </c>
      <c r="AD72" s="125">
        <f t="shared" si="65"/>
        <v>1892.1345259256448</v>
      </c>
      <c r="AE72" s="125">
        <f t="shared" si="65"/>
        <v>3784.2690518512895</v>
      </c>
      <c r="AF72" s="125">
        <f t="shared" si="65"/>
        <v>5260.1339820732919</v>
      </c>
      <c r="AG72" s="125">
        <f t="shared" si="65"/>
        <v>6622.4708407397566</v>
      </c>
      <c r="AH72" s="125">
        <f t="shared" si="65"/>
        <v>7284.7179248137327</v>
      </c>
      <c r="AI72" s="125">
        <f t="shared" si="65"/>
        <v>8022.6503899247336</v>
      </c>
      <c r="AJ72" s="125">
        <f t="shared" si="65"/>
        <v>8773.1970852085742</v>
      </c>
      <c r="AK72" s="125">
        <f t="shared" si="65"/>
        <v>9536.3580106652498</v>
      </c>
      <c r="AL72" s="125">
        <f t="shared" si="65"/>
        <v>10312.133166294763</v>
      </c>
      <c r="AM72" s="125">
        <f t="shared" si="65"/>
        <v>11100.522552097116</v>
      </c>
      <c r="AN72" s="125">
        <f t="shared" si="65"/>
        <v>11901.526168072305</v>
      </c>
      <c r="AO72" s="125">
        <f t="shared" ref="AO72:AO74" si="66">SUM(AC72:AN72)</f>
        <v>85114.518091221922</v>
      </c>
    </row>
    <row r="73" spans="2:43" s="91" customFormat="1" outlineLevel="1" x14ac:dyDescent="0.2">
      <c r="B73" s="91" t="s" vm="1598">
        <v>612</v>
      </c>
      <c r="C73" s="90"/>
      <c r="D73" s="90"/>
      <c r="E73" s="90"/>
      <c r="F73" s="90"/>
      <c r="G73" s="90"/>
      <c r="H73" s="125">
        <f t="shared" ref="H73:S73" si="67">H63/H$36</f>
        <v>6968.3731999999991</v>
      </c>
      <c r="I73" s="125">
        <f t="shared" si="67"/>
        <v>1034</v>
      </c>
      <c r="J73" s="125">
        <f t="shared" si="67"/>
        <v>3777.9</v>
      </c>
      <c r="K73" s="125">
        <f t="shared" si="67"/>
        <v>5925</v>
      </c>
      <c r="L73" s="125">
        <f t="shared" si="67"/>
        <v>13763.355000000001</v>
      </c>
      <c r="M73" s="125">
        <f t="shared" si="67"/>
        <v>12353.213199999998</v>
      </c>
      <c r="N73" s="125">
        <f t="shared" si="67"/>
        <v>8180.5933333333332</v>
      </c>
      <c r="O73" s="125">
        <f t="shared" si="67"/>
        <v>3088.3333333333335</v>
      </c>
      <c r="P73" s="125">
        <f t="shared" si="67"/>
        <v>10650.800000000001</v>
      </c>
      <c r="Q73" s="125">
        <f t="shared" si="67"/>
        <v>8222.1813333333339</v>
      </c>
      <c r="R73" s="125">
        <f t="shared" si="67"/>
        <v>8801.086666666668</v>
      </c>
      <c r="S73" s="125">
        <f t="shared" si="67"/>
        <v>6557.0733333333328</v>
      </c>
      <c r="T73" s="125">
        <f>SUM(H73:S73)</f>
        <v>89321.909400000004</v>
      </c>
      <c r="U73" s="134"/>
      <c r="V73" s="159"/>
      <c r="W73" s="159"/>
      <c r="X73" s="159"/>
      <c r="Y73" s="159"/>
      <c r="Z73" s="159"/>
      <c r="AA73" s="159"/>
      <c r="AB73" s="134"/>
      <c r="AC73" s="125">
        <f t="shared" ref="AC73:AN73" si="68">AC63/AC$36</f>
        <v>617.08659158159708</v>
      </c>
      <c r="AD73" s="125">
        <f t="shared" si="68"/>
        <v>1869.9593684290821</v>
      </c>
      <c r="AE73" s="125">
        <f t="shared" si="68"/>
        <v>3739.9187368581643</v>
      </c>
      <c r="AF73" s="125">
        <f t="shared" si="68"/>
        <v>5198.4870442328483</v>
      </c>
      <c r="AG73" s="125">
        <f t="shared" si="68"/>
        <v>6544.8577895017879</v>
      </c>
      <c r="AH73" s="125">
        <f t="shared" si="68"/>
        <v>7199.3435684519654</v>
      </c>
      <c r="AI73" s="125">
        <f t="shared" si="68"/>
        <v>7928.6277221393075</v>
      </c>
      <c r="AJ73" s="125">
        <f t="shared" si="68"/>
        <v>8670.3782716161786</v>
      </c>
      <c r="AK73" s="125">
        <f t="shared" si="68"/>
        <v>9424.5952168825734</v>
      </c>
      <c r="AL73" s="125">
        <f t="shared" si="68"/>
        <v>10191.278557938498</v>
      </c>
      <c r="AM73" s="125">
        <f t="shared" si="68"/>
        <v>10970.428294783947</v>
      </c>
      <c r="AN73" s="125">
        <f t="shared" si="68"/>
        <v>11762.044427418929</v>
      </c>
      <c r="AO73" s="125">
        <f t="shared" si="66"/>
        <v>84117.00558983488</v>
      </c>
    </row>
    <row r="74" spans="2:43" s="17" customFormat="1" outlineLevel="1" x14ac:dyDescent="0.2">
      <c r="B74" s="95" t="s" vm="1596">
        <v>613</v>
      </c>
      <c r="C74" s="131"/>
      <c r="D74" s="131"/>
      <c r="E74" s="131"/>
      <c r="F74" s="131"/>
      <c r="G74" s="131"/>
      <c r="H74" s="126">
        <f t="shared" ref="H74:S74" si="69">H64/H$36</f>
        <v>1666.6666666666667</v>
      </c>
      <c r="I74" s="126">
        <f t="shared" si="69"/>
        <v>2333.7600000000002</v>
      </c>
      <c r="J74" s="126">
        <f t="shared" si="69"/>
        <v>0</v>
      </c>
      <c r="K74" s="126">
        <f t="shared" si="69"/>
        <v>5775.0000000000009</v>
      </c>
      <c r="L74" s="126">
        <f t="shared" si="69"/>
        <v>0</v>
      </c>
      <c r="M74" s="126">
        <f t="shared" si="69"/>
        <v>5090</v>
      </c>
      <c r="N74" s="126">
        <f t="shared" si="69"/>
        <v>8730.0600000000013</v>
      </c>
      <c r="O74" s="126">
        <f t="shared" si="69"/>
        <v>5914.5623999999998</v>
      </c>
      <c r="P74" s="126">
        <f t="shared" si="69"/>
        <v>9953.56</v>
      </c>
      <c r="Q74" s="126">
        <f t="shared" si="69"/>
        <v>0</v>
      </c>
      <c r="R74" s="126">
        <f t="shared" si="69"/>
        <v>3402</v>
      </c>
      <c r="S74" s="126">
        <f t="shared" si="69"/>
        <v>2000.9000000000003</v>
      </c>
      <c r="T74" s="126">
        <f>SUM(H74:S74)</f>
        <v>44866.509066666673</v>
      </c>
      <c r="U74" s="132"/>
      <c r="V74" s="160"/>
      <c r="W74" s="160"/>
      <c r="X74" s="160"/>
      <c r="Y74" s="160"/>
      <c r="Z74" s="160"/>
      <c r="AA74" s="160"/>
      <c r="AB74" s="132"/>
      <c r="AC74" s="126">
        <f t="shared" ref="AC74:AN74" si="70">AC64/AC$36</f>
        <v>228.99687387499998</v>
      </c>
      <c r="AD74" s="126">
        <f t="shared" si="70"/>
        <v>693.9299208333332</v>
      </c>
      <c r="AE74" s="126">
        <f t="shared" si="70"/>
        <v>1387.8598416666664</v>
      </c>
      <c r="AF74" s="126">
        <f t="shared" si="70"/>
        <v>1929.1251799166664</v>
      </c>
      <c r="AG74" s="126">
        <f t="shared" si="70"/>
        <v>2428.7547229166662</v>
      </c>
      <c r="AH74" s="126">
        <f t="shared" si="70"/>
        <v>2671.6301952083327</v>
      </c>
      <c r="AI74" s="126">
        <f t="shared" si="70"/>
        <v>2942.2628643333333</v>
      </c>
      <c r="AJ74" s="126">
        <f t="shared" si="70"/>
        <v>3217.5217329305547</v>
      </c>
      <c r="AK74" s="126">
        <f t="shared" si="70"/>
        <v>3497.4068009999996</v>
      </c>
      <c r="AL74" s="126">
        <f t="shared" si="70"/>
        <v>3781.9180685416654</v>
      </c>
      <c r="AM74" s="126">
        <f t="shared" si="70"/>
        <v>4071.0555355555548</v>
      </c>
      <c r="AN74" s="126">
        <f t="shared" si="70"/>
        <v>4364.8192020416664</v>
      </c>
      <c r="AO74" s="126">
        <f t="shared" si="66"/>
        <v>31215.280938819436</v>
      </c>
    </row>
    <row r="75" spans="2:43" s="17" customFormat="1" x14ac:dyDescent="0.2">
      <c r="B75" s="91" t="s">
        <v>641</v>
      </c>
      <c r="H75" s="86">
        <f>SUM(H71:H74)</f>
        <v>17826.3632</v>
      </c>
      <c r="I75" s="86">
        <f t="shared" ref="I75:S75" si="71">SUM(I71:I74)</f>
        <v>16256.091728000001</v>
      </c>
      <c r="J75" s="86">
        <f t="shared" si="71"/>
        <v>15073.246819999998</v>
      </c>
      <c r="K75" s="86">
        <f t="shared" si="71"/>
        <v>28055.62496666667</v>
      </c>
      <c r="L75" s="86">
        <f t="shared" si="71"/>
        <v>23942.988700000002</v>
      </c>
      <c r="M75" s="86">
        <f t="shared" si="71"/>
        <v>31259.739399999999</v>
      </c>
      <c r="N75" s="86">
        <f t="shared" si="71"/>
        <v>26650.486716666666</v>
      </c>
      <c r="O75" s="86">
        <f t="shared" si="71"/>
        <v>19305.157673333331</v>
      </c>
      <c r="P75" s="86">
        <f t="shared" si="71"/>
        <v>34221.928599999999</v>
      </c>
      <c r="Q75" s="86">
        <f t="shared" si="71"/>
        <v>24679.736199999999</v>
      </c>
      <c r="R75" s="86">
        <f t="shared" si="71"/>
        <v>25920.6842</v>
      </c>
      <c r="S75" s="86">
        <f t="shared" si="71"/>
        <v>20240.983969333334</v>
      </c>
      <c r="T75" s="86">
        <f>SUM(H75:S75)</f>
        <v>283433.03217400005</v>
      </c>
      <c r="U75" s="132"/>
      <c r="V75" s="160"/>
      <c r="W75" s="160"/>
      <c r="X75" s="160"/>
      <c r="Y75" s="160"/>
      <c r="Z75" s="160"/>
      <c r="AA75" s="160"/>
      <c r="AB75" s="132"/>
      <c r="AC75" s="86">
        <f>SUM(AC71:AC74)</f>
        <v>1877.0418362771716</v>
      </c>
      <c r="AD75" s="86">
        <f t="shared" ref="AD75:AO75" si="72">SUM(AD71:AD74)</f>
        <v>5688.0055644762779</v>
      </c>
      <c r="AE75" s="86">
        <f t="shared" si="72"/>
        <v>11376.011128952556</v>
      </c>
      <c r="AF75" s="86">
        <f t="shared" si="72"/>
        <v>15812.655469244051</v>
      </c>
      <c r="AG75" s="86">
        <f t="shared" si="72"/>
        <v>19908.019475666973</v>
      </c>
      <c r="AH75" s="86">
        <f t="shared" si="72"/>
        <v>21898.821423233669</v>
      </c>
      <c r="AI75" s="86">
        <f t="shared" si="72"/>
        <v>24117.143593379416</v>
      </c>
      <c r="AJ75" s="86">
        <f t="shared" si="72"/>
        <v>26373.38580062168</v>
      </c>
      <c r="AK75" s="86">
        <f t="shared" si="72"/>
        <v>28667.54804496044</v>
      </c>
      <c r="AL75" s="86">
        <f t="shared" si="72"/>
        <v>30999.630326395712</v>
      </c>
      <c r="AM75" s="86">
        <f t="shared" si="72"/>
        <v>33369.632644927493</v>
      </c>
      <c r="AN75" s="86">
        <f t="shared" si="72"/>
        <v>35777.555000555789</v>
      </c>
      <c r="AO75" s="125">
        <f t="shared" si="72"/>
        <v>255865.45030869122</v>
      </c>
    </row>
    <row r="76" spans="2:43" s="17" customFormat="1" ht="7.75" customHeight="1" x14ac:dyDescent="0.2">
      <c r="B76" s="91"/>
      <c r="U76" s="132"/>
      <c r="V76" s="160"/>
      <c r="W76" s="160"/>
      <c r="X76" s="160"/>
      <c r="Y76" s="160"/>
      <c r="Z76" s="160"/>
      <c r="AA76" s="160"/>
      <c r="AB76" s="132"/>
    </row>
    <row r="77" spans="2:43" s="17" customFormat="1" outlineLevel="1" x14ac:dyDescent="0.2">
      <c r="B77" s="90" t="s">
        <v>633</v>
      </c>
      <c r="U77" s="132"/>
      <c r="V77" s="160"/>
      <c r="W77" s="160"/>
      <c r="X77" s="160"/>
      <c r="Y77" s="160"/>
      <c r="Z77" s="160"/>
      <c r="AA77" s="160"/>
      <c r="AB77" s="132"/>
    </row>
    <row r="78" spans="2:43" s="17" customFormat="1" outlineLevel="1" x14ac:dyDescent="0.2">
      <c r="B78" s="91" t="s" vm="1595">
        <v>610</v>
      </c>
      <c r="H78" s="86">
        <f>H71</f>
        <v>4561.5899999999992</v>
      </c>
      <c r="I78" s="86">
        <f>I71+H78</f>
        <v>12606.64</v>
      </c>
      <c r="J78" s="86">
        <f t="shared" ref="J78:S78" si="73">J71+I78</f>
        <v>18093.59</v>
      </c>
      <c r="K78" s="86">
        <f t="shared" si="73"/>
        <v>23184.634666666665</v>
      </c>
      <c r="L78" s="86">
        <f t="shared" si="73"/>
        <v>25984.748266666666</v>
      </c>
      <c r="M78" s="86">
        <f t="shared" si="73"/>
        <v>30859.545766666666</v>
      </c>
      <c r="N78" s="86">
        <f t="shared" si="73"/>
        <v>34875.498016666665</v>
      </c>
      <c r="O78" s="86">
        <f t="shared" si="73"/>
        <v>38658.251976666666</v>
      </c>
      <c r="P78" s="86">
        <f t="shared" si="73"/>
        <v>45947.050576666668</v>
      </c>
      <c r="Q78" s="86">
        <f t="shared" si="73"/>
        <v>50930.553776666668</v>
      </c>
      <c r="R78" s="86">
        <f t="shared" si="73"/>
        <v>53809.453776666669</v>
      </c>
      <c r="S78" s="86">
        <f t="shared" si="73"/>
        <v>58975.220704666666</v>
      </c>
      <c r="T78" s="86">
        <f>SUM(H78:S78)</f>
        <v>398486.77752800006</v>
      </c>
      <c r="U78" s="132"/>
      <c r="V78" s="160"/>
      <c r="W78" s="160"/>
      <c r="X78" s="160"/>
      <c r="Y78" s="160"/>
      <c r="Z78" s="160"/>
      <c r="AA78" s="160"/>
      <c r="AB78" s="132"/>
      <c r="AC78" s="86">
        <f>AC71</f>
        <v>406.55397726511183</v>
      </c>
      <c r="AD78" s="86">
        <f>AD71+AC78</f>
        <v>1638.5357265533294</v>
      </c>
      <c r="AE78" s="86">
        <f t="shared" ref="AE78:AN78" si="74">AE71+AD78</f>
        <v>4102.4992251297645</v>
      </c>
      <c r="AF78" s="86">
        <f t="shared" si="74"/>
        <v>7527.4084881510098</v>
      </c>
      <c r="AG78" s="86">
        <f t="shared" si="74"/>
        <v>11839.344610659773</v>
      </c>
      <c r="AH78" s="86">
        <f t="shared" si="74"/>
        <v>16582.47434541941</v>
      </c>
      <c r="AI78" s="86">
        <f t="shared" si="74"/>
        <v>21806.076962401454</v>
      </c>
      <c r="AJ78" s="86">
        <f t="shared" si="74"/>
        <v>27518.365673267825</v>
      </c>
      <c r="AK78" s="86">
        <f t="shared" si="74"/>
        <v>33727.553689680441</v>
      </c>
      <c r="AL78" s="86">
        <f t="shared" si="74"/>
        <v>40441.854223301227</v>
      </c>
      <c r="AM78" s="86">
        <f t="shared" si="74"/>
        <v>47669.480485792104</v>
      </c>
      <c r="AN78" s="86">
        <f t="shared" si="74"/>
        <v>55418.645688814991</v>
      </c>
      <c r="AO78" s="125">
        <f>SUM(AC78:AN78)</f>
        <v>268678.79309643642</v>
      </c>
    </row>
    <row r="79" spans="2:43" s="17" customFormat="1" outlineLevel="1" x14ac:dyDescent="0.2">
      <c r="B79" s="91" t="s" vm="1594">
        <v>611</v>
      </c>
      <c r="H79" s="86">
        <f t="shared" ref="H79:H80" si="75">H72</f>
        <v>4629.7333333333336</v>
      </c>
      <c r="I79" s="86">
        <f t="shared" ref="I79:S81" si="76">I72+H79</f>
        <v>9473.0150613333335</v>
      </c>
      <c r="J79" s="86">
        <f t="shared" si="76"/>
        <v>15281.411881333333</v>
      </c>
      <c r="K79" s="86">
        <f t="shared" si="76"/>
        <v>26545.992181333335</v>
      </c>
      <c r="L79" s="86">
        <f t="shared" si="76"/>
        <v>33925.512281333336</v>
      </c>
      <c r="M79" s="86">
        <f t="shared" si="76"/>
        <v>42867.240981333336</v>
      </c>
      <c r="N79" s="86">
        <f t="shared" si="76"/>
        <v>48591.122114666672</v>
      </c>
      <c r="O79" s="86">
        <f t="shared" si="76"/>
        <v>55110.630094666674</v>
      </c>
      <c r="P79" s="86">
        <f t="shared" si="76"/>
        <v>61439.400094666671</v>
      </c>
      <c r="Q79" s="86">
        <f t="shared" si="76"/>
        <v>72913.45176133333</v>
      </c>
      <c r="R79" s="86">
        <f t="shared" si="76"/>
        <v>83752.149294666655</v>
      </c>
      <c r="S79" s="86">
        <f t="shared" si="76"/>
        <v>90269.393002666649</v>
      </c>
      <c r="T79" s="86">
        <f>SUM(H79:S79)</f>
        <v>544799.05208266666</v>
      </c>
      <c r="U79" s="132"/>
      <c r="V79" s="160"/>
      <c r="W79" s="160"/>
      <c r="X79" s="160"/>
      <c r="Y79" s="160"/>
      <c r="Z79" s="160"/>
      <c r="AA79" s="160"/>
      <c r="AB79" s="132"/>
      <c r="AC79" s="86">
        <f t="shared" ref="AC79:AC80" si="77">AC72</f>
        <v>624.40439355546266</v>
      </c>
      <c r="AD79" s="86">
        <f t="shared" ref="AD79:AN81" si="78">AD72+AC79</f>
        <v>2516.5389194811073</v>
      </c>
      <c r="AE79" s="86">
        <f t="shared" si="78"/>
        <v>6300.8079713323968</v>
      </c>
      <c r="AF79" s="86">
        <f t="shared" si="78"/>
        <v>11560.941953405689</v>
      </c>
      <c r="AG79" s="86">
        <f t="shared" si="78"/>
        <v>18183.412794145446</v>
      </c>
      <c r="AH79" s="86">
        <f t="shared" si="78"/>
        <v>25468.130718959179</v>
      </c>
      <c r="AI79" s="86">
        <f t="shared" si="78"/>
        <v>33490.781108883915</v>
      </c>
      <c r="AJ79" s="86">
        <f t="shared" si="78"/>
        <v>42263.978194092488</v>
      </c>
      <c r="AK79" s="86">
        <f t="shared" si="78"/>
        <v>51800.336204757739</v>
      </c>
      <c r="AL79" s="86">
        <f t="shared" si="78"/>
        <v>62112.469371052503</v>
      </c>
      <c r="AM79" s="86">
        <f t="shared" si="78"/>
        <v>73212.991923149617</v>
      </c>
      <c r="AN79" s="86">
        <f t="shared" si="78"/>
        <v>85114.518091221922</v>
      </c>
      <c r="AO79" s="125">
        <f t="shared" ref="AO79:AO81" si="79">SUM(AC79:AN79)</f>
        <v>412649.31164403749</v>
      </c>
    </row>
    <row r="80" spans="2:43" s="17" customFormat="1" outlineLevel="1" x14ac:dyDescent="0.2">
      <c r="B80" s="91" t="s" vm="1598">
        <v>612</v>
      </c>
      <c r="H80" s="86">
        <f t="shared" si="75"/>
        <v>6968.3731999999991</v>
      </c>
      <c r="I80" s="86">
        <f t="shared" si="76"/>
        <v>8002.3731999999991</v>
      </c>
      <c r="J80" s="86">
        <f t="shared" si="76"/>
        <v>11780.2732</v>
      </c>
      <c r="K80" s="86">
        <f t="shared" si="76"/>
        <v>17705.2732</v>
      </c>
      <c r="L80" s="86">
        <f t="shared" si="76"/>
        <v>31468.628199999999</v>
      </c>
      <c r="M80" s="86">
        <f t="shared" si="76"/>
        <v>43821.841399999998</v>
      </c>
      <c r="N80" s="86">
        <f t="shared" si="76"/>
        <v>52002.434733333328</v>
      </c>
      <c r="O80" s="86">
        <f t="shared" si="76"/>
        <v>55090.768066666664</v>
      </c>
      <c r="P80" s="86">
        <f t="shared" si="76"/>
        <v>65741.568066666659</v>
      </c>
      <c r="Q80" s="86">
        <f t="shared" si="76"/>
        <v>73963.749400000001</v>
      </c>
      <c r="R80" s="86">
        <f t="shared" si="76"/>
        <v>82764.83606666667</v>
      </c>
      <c r="S80" s="86">
        <f t="shared" si="76"/>
        <v>89321.909400000004</v>
      </c>
      <c r="T80" s="86">
        <f>SUM(H80:S80)</f>
        <v>538632.02813333331</v>
      </c>
      <c r="U80" s="132"/>
      <c r="V80" s="160"/>
      <c r="W80" s="160"/>
      <c r="X80" s="160"/>
      <c r="Y80" s="160"/>
      <c r="Z80" s="160"/>
      <c r="AA80" s="160"/>
      <c r="AB80" s="132"/>
      <c r="AC80" s="86">
        <f t="shared" si="77"/>
        <v>617.08659158159708</v>
      </c>
      <c r="AD80" s="86">
        <f t="shared" si="78"/>
        <v>2487.0459600106792</v>
      </c>
      <c r="AE80" s="86">
        <f t="shared" si="78"/>
        <v>6226.964696868843</v>
      </c>
      <c r="AF80" s="86">
        <f t="shared" si="78"/>
        <v>11425.451741101691</v>
      </c>
      <c r="AG80" s="86">
        <f t="shared" si="78"/>
        <v>17970.309530603481</v>
      </c>
      <c r="AH80" s="86">
        <f t="shared" si="78"/>
        <v>25169.653099055446</v>
      </c>
      <c r="AI80" s="86">
        <f t="shared" si="78"/>
        <v>33098.280821194756</v>
      </c>
      <c r="AJ80" s="86">
        <f t="shared" si="78"/>
        <v>41768.659092810936</v>
      </c>
      <c r="AK80" s="86">
        <f t="shared" si="78"/>
        <v>51193.254309693511</v>
      </c>
      <c r="AL80" s="86">
        <f t="shared" si="78"/>
        <v>61384.532867632006</v>
      </c>
      <c r="AM80" s="86">
        <f t="shared" si="78"/>
        <v>72354.961162415959</v>
      </c>
      <c r="AN80" s="86">
        <f t="shared" si="78"/>
        <v>84117.00558983488</v>
      </c>
      <c r="AO80" s="125">
        <f t="shared" si="79"/>
        <v>407813.20546280377</v>
      </c>
    </row>
    <row r="81" spans="2:41" s="17" customFormat="1" outlineLevel="1" x14ac:dyDescent="0.2">
      <c r="B81" s="95" t="s" vm="1596">
        <v>613</v>
      </c>
      <c r="C81" s="131"/>
      <c r="D81" s="131"/>
      <c r="E81" s="131"/>
      <c r="F81" s="131"/>
      <c r="G81" s="131"/>
      <c r="H81" s="133">
        <f>H74</f>
        <v>1666.6666666666667</v>
      </c>
      <c r="I81" s="86">
        <f t="shared" si="76"/>
        <v>4000.4266666666672</v>
      </c>
      <c r="J81" s="86">
        <f t="shared" si="76"/>
        <v>4000.4266666666672</v>
      </c>
      <c r="K81" s="86">
        <f t="shared" si="76"/>
        <v>9775.4266666666681</v>
      </c>
      <c r="L81" s="86">
        <f t="shared" si="76"/>
        <v>9775.4266666666681</v>
      </c>
      <c r="M81" s="86">
        <f t="shared" si="76"/>
        <v>14865.426666666668</v>
      </c>
      <c r="N81" s="86">
        <f t="shared" si="76"/>
        <v>23595.486666666671</v>
      </c>
      <c r="O81" s="86">
        <f t="shared" si="76"/>
        <v>29510.04906666667</v>
      </c>
      <c r="P81" s="86">
        <f t="shared" si="76"/>
        <v>39463.609066666671</v>
      </c>
      <c r="Q81" s="86">
        <f t="shared" si="76"/>
        <v>39463.609066666671</v>
      </c>
      <c r="R81" s="86">
        <f t="shared" si="76"/>
        <v>42865.609066666671</v>
      </c>
      <c r="S81" s="86">
        <f t="shared" si="76"/>
        <v>44866.509066666673</v>
      </c>
      <c r="T81" s="86">
        <f>SUM(H81:S81)</f>
        <v>263848.67200000002</v>
      </c>
      <c r="U81" s="132"/>
      <c r="V81" s="160"/>
      <c r="W81" s="160"/>
      <c r="X81" s="160"/>
      <c r="Y81" s="160"/>
      <c r="Z81" s="160"/>
      <c r="AA81" s="160"/>
      <c r="AB81" s="132"/>
      <c r="AC81" s="133">
        <f>AC74</f>
        <v>228.99687387499998</v>
      </c>
      <c r="AD81" s="133">
        <f t="shared" si="78"/>
        <v>922.9267947083332</v>
      </c>
      <c r="AE81" s="133">
        <f t="shared" si="78"/>
        <v>2310.7866363749995</v>
      </c>
      <c r="AF81" s="133">
        <f t="shared" si="78"/>
        <v>4239.9118162916657</v>
      </c>
      <c r="AG81" s="133">
        <f t="shared" si="78"/>
        <v>6668.6665392083323</v>
      </c>
      <c r="AH81" s="133">
        <f t="shared" si="78"/>
        <v>9340.2967344166645</v>
      </c>
      <c r="AI81" s="133">
        <f t="shared" si="78"/>
        <v>12282.559598749998</v>
      </c>
      <c r="AJ81" s="133">
        <f t="shared" si="78"/>
        <v>15500.081331680552</v>
      </c>
      <c r="AK81" s="133">
        <f t="shared" si="78"/>
        <v>18997.488132680552</v>
      </c>
      <c r="AL81" s="133">
        <f t="shared" si="78"/>
        <v>22779.406201222217</v>
      </c>
      <c r="AM81" s="133">
        <f t="shared" si="78"/>
        <v>26850.461736777772</v>
      </c>
      <c r="AN81" s="133">
        <f t="shared" si="78"/>
        <v>31215.280938819436</v>
      </c>
      <c r="AO81" s="126">
        <f t="shared" si="79"/>
        <v>151336.8633348055</v>
      </c>
    </row>
    <row r="82" spans="2:41" s="10" customFormat="1" x14ac:dyDescent="0.2">
      <c r="B82" s="136" t="s">
        <v>634</v>
      </c>
      <c r="C82" s="137"/>
      <c r="D82" s="137"/>
      <c r="E82" s="137"/>
      <c r="F82" s="137"/>
      <c r="G82" s="137"/>
      <c r="H82" s="138">
        <f>SUM(H78:H81)</f>
        <v>17826.3632</v>
      </c>
      <c r="I82" s="138">
        <f t="shared" ref="I82:S82" si="80">SUM(I78:I81)</f>
        <v>34082.454927999999</v>
      </c>
      <c r="J82" s="138">
        <f t="shared" si="80"/>
        <v>49155.701747999992</v>
      </c>
      <c r="K82" s="138">
        <f t="shared" si="80"/>
        <v>77211.326714666662</v>
      </c>
      <c r="L82" s="138">
        <f t="shared" si="80"/>
        <v>101154.31541466666</v>
      </c>
      <c r="M82" s="138">
        <f t="shared" si="80"/>
        <v>132414.05481466666</v>
      </c>
      <c r="N82" s="138">
        <f t="shared" si="80"/>
        <v>159064.54153133332</v>
      </c>
      <c r="O82" s="138">
        <f t="shared" si="80"/>
        <v>178369.69920466666</v>
      </c>
      <c r="P82" s="138">
        <f t="shared" si="80"/>
        <v>212591.6278046667</v>
      </c>
      <c r="Q82" s="138">
        <f t="shared" si="80"/>
        <v>237271.36400466668</v>
      </c>
      <c r="R82" s="138">
        <f t="shared" si="80"/>
        <v>263192.04820466664</v>
      </c>
      <c r="S82" s="138">
        <f t="shared" si="80"/>
        <v>283433.03217399999</v>
      </c>
      <c r="T82" s="138">
        <f>SUM(H82:S82)</f>
        <v>1745766.5297440002</v>
      </c>
      <c r="U82" s="134"/>
      <c r="V82" s="159"/>
      <c r="W82" s="159"/>
      <c r="X82" s="159"/>
      <c r="Y82" s="159"/>
      <c r="Z82" s="159"/>
      <c r="AA82" s="159"/>
      <c r="AB82" s="134"/>
      <c r="AC82" s="138">
        <f>SUM(AC78:AC81)</f>
        <v>1877.0418362771716</v>
      </c>
      <c r="AD82" s="138">
        <f t="shared" ref="AD82:AN82" si="81">SUM(AD78:AD81)</f>
        <v>7565.0474007534485</v>
      </c>
      <c r="AE82" s="138">
        <f t="shared" si="81"/>
        <v>18941.058529706002</v>
      </c>
      <c r="AF82" s="138">
        <f t="shared" si="81"/>
        <v>34753.713998950057</v>
      </c>
      <c r="AG82" s="138">
        <f t="shared" si="81"/>
        <v>54661.733474617031</v>
      </c>
      <c r="AH82" s="138">
        <f t="shared" si="81"/>
        <v>76560.554897850699</v>
      </c>
      <c r="AI82" s="138">
        <f t="shared" si="81"/>
        <v>100677.69849123013</v>
      </c>
      <c r="AJ82" s="138">
        <f t="shared" si="81"/>
        <v>127051.0842918518</v>
      </c>
      <c r="AK82" s="138">
        <f t="shared" si="81"/>
        <v>155718.63233681224</v>
      </c>
      <c r="AL82" s="138">
        <f t="shared" si="81"/>
        <v>186718.26266320795</v>
      </c>
      <c r="AM82" s="138">
        <f t="shared" si="81"/>
        <v>220087.89530813546</v>
      </c>
      <c r="AN82" s="138">
        <f t="shared" si="81"/>
        <v>255865.45030869122</v>
      </c>
      <c r="AO82" s="140">
        <f>SUM(AO78:AO81)</f>
        <v>1240478.1735380832</v>
      </c>
    </row>
    <row r="83" spans="2:41" s="17" customFormat="1" ht="2" customHeight="1" x14ac:dyDescent="0.2">
      <c r="B83" s="132"/>
      <c r="U83" s="132"/>
      <c r="V83" s="160"/>
      <c r="W83" s="160"/>
      <c r="X83" s="160"/>
      <c r="Y83" s="160"/>
      <c r="Z83" s="160"/>
      <c r="AA83" s="160"/>
      <c r="AB83" s="132"/>
      <c r="AC83" s="86"/>
      <c r="AD83" s="86"/>
      <c r="AE83" s="86"/>
      <c r="AF83" s="86"/>
      <c r="AG83" s="86"/>
      <c r="AH83" s="86"/>
      <c r="AI83" s="86"/>
      <c r="AJ83" s="86"/>
      <c r="AK83" s="86"/>
      <c r="AL83" s="86"/>
      <c r="AM83" s="86"/>
      <c r="AN83" s="86"/>
      <c r="AO83" s="86"/>
    </row>
    <row r="84" spans="2:41" x14ac:dyDescent="0.2">
      <c r="B84" s="30" t="s">
        <v>588</v>
      </c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166"/>
      <c r="V84" s="158"/>
      <c r="W84" s="158"/>
      <c r="X84" s="158"/>
      <c r="Y84" s="158"/>
      <c r="Z84" s="158"/>
      <c r="AA84" s="158"/>
      <c r="AB84" s="166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</row>
    <row r="85" spans="2:41" x14ac:dyDescent="0.2">
      <c r="B85" s="23" t="s">
        <v>702</v>
      </c>
      <c r="H85" s="149"/>
      <c r="I85" s="149"/>
      <c r="J85" s="149"/>
      <c r="K85" s="149"/>
      <c r="L85" s="149"/>
      <c r="M85" s="149"/>
      <c r="N85" s="149"/>
      <c r="O85" s="149"/>
      <c r="P85" s="149"/>
      <c r="Q85" s="149"/>
      <c r="R85" s="149"/>
      <c r="S85" s="149"/>
      <c r="T85" s="149"/>
      <c r="U85" s="142"/>
      <c r="V85" s="149"/>
      <c r="W85" s="149"/>
      <c r="X85" s="149"/>
      <c r="Y85" s="149"/>
      <c r="Z85" s="149"/>
      <c r="AA85" s="149"/>
      <c r="AB85" s="142"/>
      <c r="AC85" s="43">
        <f>AC52*AC39</f>
        <v>12500</v>
      </c>
      <c r="AD85" s="43">
        <f t="shared" ref="AC85:AN85" si="82">AD52*AD39</f>
        <v>25000</v>
      </c>
      <c r="AE85" s="43">
        <f t="shared" si="82"/>
        <v>37500</v>
      </c>
      <c r="AF85" s="43">
        <f t="shared" si="82"/>
        <v>41666.666666666672</v>
      </c>
      <c r="AG85" s="43">
        <f t="shared" si="82"/>
        <v>45833.333333333336</v>
      </c>
      <c r="AH85" s="43">
        <f t="shared" si="82"/>
        <v>50000</v>
      </c>
      <c r="AI85" s="43">
        <f t="shared" si="82"/>
        <v>54166.666666666672</v>
      </c>
      <c r="AJ85" s="43">
        <f t="shared" si="82"/>
        <v>58333.333333333336</v>
      </c>
      <c r="AK85" s="43">
        <f t="shared" si="82"/>
        <v>62500.000000000007</v>
      </c>
      <c r="AL85" s="43">
        <f t="shared" si="82"/>
        <v>66666.666666666672</v>
      </c>
      <c r="AM85" s="43">
        <f t="shared" si="82"/>
        <v>70833.333333333343</v>
      </c>
      <c r="AN85" s="43">
        <f t="shared" si="82"/>
        <v>75000</v>
      </c>
      <c r="AO85" s="125">
        <f t="shared" ref="AO85:AO91" si="83">SUM(AC85:AN85)</f>
        <v>600000</v>
      </c>
    </row>
    <row r="86" spans="2:41" x14ac:dyDescent="0.2">
      <c r="B86" s="23" t="s">
        <v>703</v>
      </c>
      <c r="H86" s="149"/>
      <c r="I86" s="149"/>
      <c r="J86" s="149"/>
      <c r="K86" s="149"/>
      <c r="L86" s="149"/>
      <c r="M86" s="149"/>
      <c r="N86" s="149"/>
      <c r="O86" s="149"/>
      <c r="P86" s="149"/>
      <c r="Q86" s="149"/>
      <c r="R86" s="149"/>
      <c r="S86" s="149"/>
      <c r="T86" s="149"/>
      <c r="U86" s="142"/>
      <c r="V86" s="149"/>
      <c r="W86" s="149"/>
      <c r="X86" s="149"/>
      <c r="Y86" s="149"/>
      <c r="Z86" s="149"/>
      <c r="AA86" s="149"/>
      <c r="AB86" s="142"/>
      <c r="AC86" s="43">
        <f t="shared" ref="AC86:AN86" si="84">AC56*AC41</f>
        <v>8333.3333333333339</v>
      </c>
      <c r="AD86" s="43">
        <f t="shared" si="84"/>
        <v>8333.3333333333339</v>
      </c>
      <c r="AE86" s="43">
        <f t="shared" si="84"/>
        <v>16666.666666666668</v>
      </c>
      <c r="AF86" s="43">
        <f t="shared" si="84"/>
        <v>16666.666666666668</v>
      </c>
      <c r="AG86" s="43">
        <f t="shared" si="84"/>
        <v>16666.666666666668</v>
      </c>
      <c r="AH86" s="43">
        <f t="shared" si="84"/>
        <v>16666.666666666668</v>
      </c>
      <c r="AI86" s="43">
        <f t="shared" si="84"/>
        <v>25000</v>
      </c>
      <c r="AJ86" s="43">
        <f t="shared" si="84"/>
        <v>25000</v>
      </c>
      <c r="AK86" s="43">
        <f t="shared" si="84"/>
        <v>25000</v>
      </c>
      <c r="AL86" s="43">
        <f t="shared" si="84"/>
        <v>25000</v>
      </c>
      <c r="AM86" s="43">
        <f t="shared" si="84"/>
        <v>25000</v>
      </c>
      <c r="AN86" s="43">
        <f t="shared" si="84"/>
        <v>25000</v>
      </c>
      <c r="AO86" s="125">
        <f t="shared" si="83"/>
        <v>233333.33333333334</v>
      </c>
    </row>
    <row r="87" spans="2:41" x14ac:dyDescent="0.2">
      <c r="B87" s="11" t="s">
        <v>704</v>
      </c>
      <c r="C87" s="11"/>
      <c r="D87" s="57"/>
      <c r="E87" s="57"/>
      <c r="F87" s="57"/>
      <c r="G87" s="57"/>
      <c r="H87" s="149"/>
      <c r="I87" s="149"/>
      <c r="J87" s="149"/>
      <c r="K87" s="149"/>
      <c r="L87" s="149"/>
      <c r="M87" s="149"/>
      <c r="N87" s="149"/>
      <c r="O87" s="149"/>
      <c r="P87" s="149"/>
      <c r="Q87" s="149"/>
      <c r="R87" s="149"/>
      <c r="S87" s="149"/>
      <c r="T87" s="149"/>
      <c r="U87" s="142"/>
      <c r="V87" s="149"/>
      <c r="W87" s="149"/>
      <c r="X87" s="149"/>
      <c r="Y87" s="149"/>
      <c r="Z87" s="149"/>
      <c r="AA87" s="149"/>
      <c r="AB87" s="142"/>
      <c r="AC87" s="169">
        <f t="shared" ref="AC87:AN87" si="85">AC40*AC65</f>
        <v>2252.4502035326063</v>
      </c>
      <c r="AD87" s="126">
        <f t="shared" si="85"/>
        <v>6825.6066773715347</v>
      </c>
      <c r="AE87" s="126">
        <f t="shared" si="85"/>
        <v>13651.213354743069</v>
      </c>
      <c r="AF87" s="126">
        <f t="shared" si="85"/>
        <v>18975.186563092862</v>
      </c>
      <c r="AG87" s="126">
        <f t="shared" si="85"/>
        <v>23889.623370800371</v>
      </c>
      <c r="AH87" s="126">
        <f t="shared" si="85"/>
        <v>26278.585707880407</v>
      </c>
      <c r="AI87" s="126">
        <f t="shared" si="85"/>
        <v>28940.572312055301</v>
      </c>
      <c r="AJ87" s="126">
        <f t="shared" si="85"/>
        <v>31648.062960746018</v>
      </c>
      <c r="AK87" s="126">
        <f t="shared" si="85"/>
        <v>34401.057653952528</v>
      </c>
      <c r="AL87" s="126">
        <f t="shared" si="85"/>
        <v>37199.556391674858</v>
      </c>
      <c r="AM87" s="126">
        <f t="shared" si="85"/>
        <v>40043.559173913003</v>
      </c>
      <c r="AN87" s="126">
        <f t="shared" si="85"/>
        <v>42933.06600066695</v>
      </c>
      <c r="AO87" s="126">
        <f t="shared" si="83"/>
        <v>307038.54037042952</v>
      </c>
    </row>
    <row r="88" spans="2:41" s="10" customFormat="1" x14ac:dyDescent="0.2">
      <c r="B88" s="10" t="s">
        <v>583</v>
      </c>
      <c r="H88" s="150"/>
      <c r="I88" s="150"/>
      <c r="J88" s="150"/>
      <c r="K88" s="150"/>
      <c r="L88" s="150"/>
      <c r="M88" s="150"/>
      <c r="N88" s="150"/>
      <c r="O88" s="150"/>
      <c r="P88" s="150"/>
      <c r="Q88" s="150"/>
      <c r="R88" s="150"/>
      <c r="S88" s="150"/>
      <c r="T88" s="150"/>
      <c r="U88" s="167"/>
      <c r="V88" s="150"/>
      <c r="W88" s="150"/>
      <c r="X88" s="150"/>
      <c r="Y88" s="150"/>
      <c r="Z88" s="150"/>
      <c r="AA88" s="150"/>
      <c r="AB88" s="167"/>
      <c r="AC88" s="45">
        <f>SUM(AC85:AC87)</f>
        <v>23085.783536865943</v>
      </c>
      <c r="AD88" s="45">
        <f t="shared" ref="AD88:AM88" si="86">SUM(AD85:AD87)</f>
        <v>40158.940010704871</v>
      </c>
      <c r="AE88" s="45">
        <f t="shared" si="86"/>
        <v>67817.880021409743</v>
      </c>
      <c r="AF88" s="45">
        <f t="shared" si="86"/>
        <v>77308.519896426209</v>
      </c>
      <c r="AG88" s="45">
        <f t="shared" si="86"/>
        <v>86389.623370800371</v>
      </c>
      <c r="AH88" s="45">
        <f t="shared" si="86"/>
        <v>92945.252374547083</v>
      </c>
      <c r="AI88" s="45">
        <f t="shared" si="86"/>
        <v>108107.23897872197</v>
      </c>
      <c r="AJ88" s="45">
        <f t="shared" si="86"/>
        <v>114981.39629407936</v>
      </c>
      <c r="AK88" s="45">
        <f t="shared" si="86"/>
        <v>121901.05765395254</v>
      </c>
      <c r="AL88" s="45">
        <f t="shared" si="86"/>
        <v>128866.22305834154</v>
      </c>
      <c r="AM88" s="45">
        <f t="shared" si="86"/>
        <v>135876.89250724635</v>
      </c>
      <c r="AN88" s="45">
        <f>SUM(AN85:AN87)</f>
        <v>142933.06600066693</v>
      </c>
      <c r="AO88" s="45">
        <f>SUM(AO85:AO87)</f>
        <v>1140371.8737037629</v>
      </c>
    </row>
    <row r="89" spans="2:41" ht="6.5" customHeight="1" x14ac:dyDescent="0.2"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  <c r="T89" s="149"/>
      <c r="U89" s="142"/>
      <c r="V89" s="149"/>
      <c r="W89" s="149"/>
      <c r="X89" s="149"/>
      <c r="Y89" s="149"/>
      <c r="Z89" s="149"/>
      <c r="AA89" s="149"/>
      <c r="AB89" s="142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</row>
    <row r="90" spans="2:41" x14ac:dyDescent="0.2">
      <c r="B90" s="23" t="s">
        <v>585</v>
      </c>
      <c r="H90" s="149"/>
      <c r="I90" s="149"/>
      <c r="J90" s="149"/>
      <c r="K90" s="149"/>
      <c r="L90" s="149"/>
      <c r="M90" s="149"/>
      <c r="N90" s="149"/>
      <c r="O90" s="149"/>
      <c r="P90" s="149"/>
      <c r="Q90" s="149"/>
      <c r="R90" s="149"/>
      <c r="S90" s="149"/>
      <c r="T90" s="149"/>
      <c r="U90" s="142"/>
      <c r="V90" s="149"/>
      <c r="W90" s="149"/>
      <c r="X90" s="149"/>
      <c r="Y90" s="149"/>
      <c r="Z90" s="149"/>
      <c r="AA90" s="149"/>
      <c r="AB90" s="142"/>
      <c r="AC90" s="43">
        <f t="shared" ref="AC90:AN90" si="87">AC42</f>
        <v>3000</v>
      </c>
      <c r="AD90" s="43">
        <f t="shared" si="87"/>
        <v>3000</v>
      </c>
      <c r="AE90" s="43">
        <f t="shared" si="87"/>
        <v>3000</v>
      </c>
      <c r="AF90" s="43">
        <f t="shared" si="87"/>
        <v>3000</v>
      </c>
      <c r="AG90" s="43">
        <f t="shared" si="87"/>
        <v>3000</v>
      </c>
      <c r="AH90" s="43">
        <f t="shared" si="87"/>
        <v>3000</v>
      </c>
      <c r="AI90" s="43">
        <f t="shared" si="87"/>
        <v>3000</v>
      </c>
      <c r="AJ90" s="43">
        <f t="shared" si="87"/>
        <v>3000</v>
      </c>
      <c r="AK90" s="43">
        <f t="shared" si="87"/>
        <v>3000</v>
      </c>
      <c r="AL90" s="43">
        <f t="shared" si="87"/>
        <v>3000</v>
      </c>
      <c r="AM90" s="43">
        <f t="shared" si="87"/>
        <v>3000</v>
      </c>
      <c r="AN90" s="43">
        <f t="shared" si="87"/>
        <v>3000</v>
      </c>
      <c r="AO90" s="43">
        <f t="shared" si="83"/>
        <v>36000</v>
      </c>
    </row>
    <row r="91" spans="2:41" x14ac:dyDescent="0.2">
      <c r="B91" s="11" t="s">
        <v>636</v>
      </c>
      <c r="C91" s="11"/>
      <c r="D91" s="57"/>
      <c r="E91" s="57"/>
      <c r="F91" s="57"/>
      <c r="G91" s="57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  <c r="T91" s="149"/>
      <c r="U91" s="142"/>
      <c r="V91" s="149"/>
      <c r="W91" s="149"/>
      <c r="X91" s="149"/>
      <c r="Y91" s="149"/>
      <c r="Z91" s="149"/>
      <c r="AA91" s="149"/>
      <c r="AB91" s="142"/>
      <c r="AC91" s="44">
        <f t="shared" ref="AC91:AN91" si="88">AC57*AC43</f>
        <v>3000</v>
      </c>
      <c r="AD91" s="44">
        <f t="shared" si="88"/>
        <v>5250</v>
      </c>
      <c r="AE91" s="44">
        <f t="shared" si="88"/>
        <v>8250</v>
      </c>
      <c r="AF91" s="44">
        <f t="shared" si="88"/>
        <v>9000</v>
      </c>
      <c r="AG91" s="44">
        <f t="shared" si="88"/>
        <v>9750</v>
      </c>
      <c r="AH91" s="44">
        <f t="shared" si="88"/>
        <v>10500</v>
      </c>
      <c r="AI91" s="44">
        <f t="shared" si="88"/>
        <v>12000</v>
      </c>
      <c r="AJ91" s="44">
        <f t="shared" si="88"/>
        <v>12750</v>
      </c>
      <c r="AK91" s="44">
        <f t="shared" si="88"/>
        <v>13500</v>
      </c>
      <c r="AL91" s="44">
        <f t="shared" si="88"/>
        <v>14250</v>
      </c>
      <c r="AM91" s="44">
        <f t="shared" si="88"/>
        <v>15000</v>
      </c>
      <c r="AN91" s="44">
        <f t="shared" si="88"/>
        <v>15750</v>
      </c>
      <c r="AO91" s="44">
        <f t="shared" si="83"/>
        <v>129000</v>
      </c>
    </row>
    <row r="92" spans="2:41" s="10" customFormat="1" x14ac:dyDescent="0.2">
      <c r="B92" s="10" t="s">
        <v>584</v>
      </c>
      <c r="H92" s="150"/>
      <c r="I92" s="150"/>
      <c r="J92" s="150"/>
      <c r="K92" s="150"/>
      <c r="L92" s="150"/>
      <c r="M92" s="150"/>
      <c r="N92" s="150"/>
      <c r="O92" s="150"/>
      <c r="P92" s="150"/>
      <c r="Q92" s="150"/>
      <c r="R92" s="150"/>
      <c r="S92" s="150"/>
      <c r="T92" s="150"/>
      <c r="U92" s="167"/>
      <c r="V92" s="150"/>
      <c r="W92" s="150"/>
      <c r="X92" s="150"/>
      <c r="Y92" s="150"/>
      <c r="Z92" s="150"/>
      <c r="AA92" s="150"/>
      <c r="AB92" s="167"/>
      <c r="AC92" s="45">
        <f t="shared" ref="AC92" si="89">SUM(AC90:AC91)</f>
        <v>6000</v>
      </c>
      <c r="AD92" s="45">
        <f>SUM(AD90:AD91)</f>
        <v>8250</v>
      </c>
      <c r="AE92" s="45">
        <f t="shared" ref="AE92:AO92" si="90">SUM(AE90:AE91)</f>
        <v>11250</v>
      </c>
      <c r="AF92" s="45">
        <f t="shared" si="90"/>
        <v>12000</v>
      </c>
      <c r="AG92" s="45">
        <f t="shared" si="90"/>
        <v>12750</v>
      </c>
      <c r="AH92" s="45">
        <f t="shared" si="90"/>
        <v>13500</v>
      </c>
      <c r="AI92" s="45">
        <f t="shared" si="90"/>
        <v>15000</v>
      </c>
      <c r="AJ92" s="45">
        <f t="shared" si="90"/>
        <v>15750</v>
      </c>
      <c r="AK92" s="45">
        <f t="shared" si="90"/>
        <v>16500</v>
      </c>
      <c r="AL92" s="45">
        <f t="shared" si="90"/>
        <v>17250</v>
      </c>
      <c r="AM92" s="45">
        <f t="shared" si="90"/>
        <v>18000</v>
      </c>
      <c r="AN92" s="45">
        <f t="shared" si="90"/>
        <v>18750</v>
      </c>
      <c r="AO92" s="45">
        <f t="shared" si="90"/>
        <v>165000</v>
      </c>
    </row>
    <row r="93" spans="2:41" ht="8.5" customHeight="1" x14ac:dyDescent="0.2"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  <c r="T93" s="149"/>
      <c r="U93" s="142"/>
      <c r="V93" s="149"/>
      <c r="W93" s="149"/>
      <c r="X93" s="149"/>
      <c r="Y93" s="149"/>
      <c r="Z93" s="149"/>
      <c r="AA93" s="149"/>
      <c r="AB93" s="142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</row>
    <row r="94" spans="2:41" x14ac:dyDescent="0.2">
      <c r="B94" s="23" t="s">
        <v>637</v>
      </c>
      <c r="H94" s="149"/>
      <c r="I94" s="149"/>
      <c r="J94" s="149"/>
      <c r="K94" s="149"/>
      <c r="L94" s="149"/>
      <c r="M94" s="149"/>
      <c r="N94" s="149"/>
      <c r="O94" s="149"/>
      <c r="P94" s="149"/>
      <c r="Q94" s="149"/>
      <c r="R94" s="149"/>
      <c r="S94" s="149"/>
      <c r="T94" s="149"/>
      <c r="U94" s="142"/>
      <c r="V94" s="149"/>
      <c r="W94" s="149"/>
      <c r="X94" s="149"/>
      <c r="Y94" s="149"/>
      <c r="Z94" s="149"/>
      <c r="AA94" s="149"/>
      <c r="AB94" s="142"/>
      <c r="AC94" s="43">
        <f t="shared" ref="AC94:AN94" si="91">AC52*AC44</f>
        <v>750</v>
      </c>
      <c r="AD94" s="43">
        <f t="shared" si="91"/>
        <v>1500</v>
      </c>
      <c r="AE94" s="43">
        <f t="shared" si="91"/>
        <v>2250</v>
      </c>
      <c r="AF94" s="43">
        <f t="shared" si="91"/>
        <v>2500</v>
      </c>
      <c r="AG94" s="43">
        <f t="shared" si="91"/>
        <v>2750</v>
      </c>
      <c r="AH94" s="43">
        <f t="shared" si="91"/>
        <v>3000</v>
      </c>
      <c r="AI94" s="43">
        <f t="shared" si="91"/>
        <v>3250</v>
      </c>
      <c r="AJ94" s="43">
        <f t="shared" si="91"/>
        <v>3500</v>
      </c>
      <c r="AK94" s="43">
        <f t="shared" si="91"/>
        <v>3750</v>
      </c>
      <c r="AL94" s="43">
        <f t="shared" si="91"/>
        <v>4000</v>
      </c>
      <c r="AM94" s="43">
        <f t="shared" si="91"/>
        <v>4250</v>
      </c>
      <c r="AN94" s="43">
        <f t="shared" si="91"/>
        <v>4500</v>
      </c>
      <c r="AO94" s="43">
        <f t="shared" ref="AO94:AO95" si="92">SUM(AC94:AN94)</f>
        <v>36000</v>
      </c>
    </row>
    <row r="95" spans="2:41" x14ac:dyDescent="0.2">
      <c r="B95" s="11" t="s">
        <v>638</v>
      </c>
      <c r="C95" s="11"/>
      <c r="D95" s="57"/>
      <c r="E95" s="57"/>
      <c r="F95" s="57"/>
      <c r="G95" s="57"/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  <c r="T95" s="149"/>
      <c r="U95" s="142"/>
      <c r="V95" s="149"/>
      <c r="W95" s="149"/>
      <c r="X95" s="149"/>
      <c r="Y95" s="149"/>
      <c r="Z95" s="149"/>
      <c r="AA95" s="149"/>
      <c r="AB95" s="142"/>
      <c r="AC95" s="44">
        <f t="shared" ref="AC95:AN95" si="93">AC56*AC45</f>
        <v>500</v>
      </c>
      <c r="AD95" s="44">
        <f t="shared" si="93"/>
        <v>500</v>
      </c>
      <c r="AE95" s="44">
        <f t="shared" si="93"/>
        <v>1000</v>
      </c>
      <c r="AF95" s="44">
        <f t="shared" si="93"/>
        <v>1000</v>
      </c>
      <c r="AG95" s="44">
        <f t="shared" si="93"/>
        <v>1000</v>
      </c>
      <c r="AH95" s="44">
        <f t="shared" si="93"/>
        <v>1000</v>
      </c>
      <c r="AI95" s="44">
        <f t="shared" si="93"/>
        <v>1500</v>
      </c>
      <c r="AJ95" s="44">
        <f t="shared" si="93"/>
        <v>1500</v>
      </c>
      <c r="AK95" s="44">
        <f t="shared" si="93"/>
        <v>1500</v>
      </c>
      <c r="AL95" s="44">
        <f t="shared" si="93"/>
        <v>1500</v>
      </c>
      <c r="AM95" s="44">
        <f t="shared" si="93"/>
        <v>1500</v>
      </c>
      <c r="AN95" s="44">
        <f t="shared" si="93"/>
        <v>1500</v>
      </c>
      <c r="AO95" s="44">
        <f t="shared" si="92"/>
        <v>14000</v>
      </c>
    </row>
    <row r="96" spans="2:41" x14ac:dyDescent="0.2">
      <c r="B96" s="46" t="s">
        <v>700</v>
      </c>
      <c r="C96" s="46"/>
      <c r="D96" s="46"/>
      <c r="E96" s="46"/>
      <c r="F96" s="46"/>
      <c r="G96" s="46"/>
      <c r="H96" s="150"/>
      <c r="I96" s="150"/>
      <c r="J96" s="150"/>
      <c r="K96" s="150"/>
      <c r="L96" s="150"/>
      <c r="M96" s="150"/>
      <c r="N96" s="150"/>
      <c r="O96" s="150"/>
      <c r="P96" s="150"/>
      <c r="Q96" s="150"/>
      <c r="R96" s="150"/>
      <c r="S96" s="150"/>
      <c r="T96" s="150"/>
      <c r="U96" s="167"/>
      <c r="V96" s="150"/>
      <c r="W96" s="150"/>
      <c r="X96" s="150"/>
      <c r="Y96" s="150"/>
      <c r="Z96" s="150"/>
      <c r="AA96" s="150"/>
      <c r="AB96" s="167"/>
      <c r="AC96" s="45">
        <f t="shared" ref="AC96:AM96" si="94">SUM(AC94:AC95)</f>
        <v>1250</v>
      </c>
      <c r="AD96" s="45">
        <f t="shared" si="94"/>
        <v>2000</v>
      </c>
      <c r="AE96" s="45">
        <f t="shared" si="94"/>
        <v>3250</v>
      </c>
      <c r="AF96" s="45">
        <f t="shared" si="94"/>
        <v>3500</v>
      </c>
      <c r="AG96" s="45">
        <f t="shared" si="94"/>
        <v>3750</v>
      </c>
      <c r="AH96" s="45">
        <f t="shared" si="94"/>
        <v>4000</v>
      </c>
      <c r="AI96" s="45">
        <f t="shared" si="94"/>
        <v>4750</v>
      </c>
      <c r="AJ96" s="45">
        <f t="shared" si="94"/>
        <v>5000</v>
      </c>
      <c r="AK96" s="45">
        <f t="shared" si="94"/>
        <v>5250</v>
      </c>
      <c r="AL96" s="45">
        <f t="shared" si="94"/>
        <v>5500</v>
      </c>
      <c r="AM96" s="45">
        <f t="shared" si="94"/>
        <v>5750</v>
      </c>
      <c r="AN96" s="45">
        <f>SUM(AN94:AN95)</f>
        <v>6000</v>
      </c>
      <c r="AO96" s="45">
        <f>SUM(AO94:AO95)</f>
        <v>50000</v>
      </c>
    </row>
    <row r="97" spans="2:43" ht="5.25" customHeight="1" x14ac:dyDescent="0.2">
      <c r="H97" s="151"/>
      <c r="I97" s="151"/>
      <c r="J97" s="151"/>
      <c r="K97" s="151"/>
      <c r="L97" s="151"/>
      <c r="M97" s="151"/>
      <c r="N97" s="151"/>
      <c r="O97" s="151"/>
      <c r="P97" s="151"/>
      <c r="Q97" s="151"/>
      <c r="R97" s="151"/>
      <c r="S97" s="151"/>
      <c r="T97" s="151"/>
      <c r="U97" s="116"/>
      <c r="V97" s="151"/>
      <c r="W97" s="151"/>
      <c r="X97" s="151"/>
      <c r="Y97" s="151"/>
      <c r="Z97" s="151"/>
      <c r="AA97" s="151"/>
      <c r="AB97" s="116"/>
    </row>
    <row r="98" spans="2:43" x14ac:dyDescent="0.2">
      <c r="B98" s="10" t="s">
        <v>639</v>
      </c>
      <c r="H98" s="150"/>
      <c r="I98" s="150"/>
      <c r="J98" s="150"/>
      <c r="K98" s="150"/>
      <c r="L98" s="150"/>
      <c r="M98" s="150"/>
      <c r="N98" s="150"/>
      <c r="O98" s="150"/>
      <c r="P98" s="150"/>
      <c r="Q98" s="150"/>
      <c r="R98" s="150"/>
      <c r="S98" s="150"/>
      <c r="T98" s="150"/>
      <c r="U98" s="167"/>
      <c r="V98" s="150"/>
      <c r="W98" s="150"/>
      <c r="X98" s="150"/>
      <c r="Y98" s="150"/>
      <c r="Z98" s="150"/>
      <c r="AA98" s="150"/>
      <c r="AB98" s="167"/>
      <c r="AC98" s="45">
        <f t="shared" ref="AC98:AN98" si="95">AC57*AC46</f>
        <v>4000</v>
      </c>
      <c r="AD98" s="45">
        <f t="shared" si="95"/>
        <v>7000</v>
      </c>
      <c r="AE98" s="45">
        <f t="shared" si="95"/>
        <v>11000</v>
      </c>
      <c r="AF98" s="45">
        <f t="shared" si="95"/>
        <v>12000</v>
      </c>
      <c r="AG98" s="45">
        <f t="shared" si="95"/>
        <v>13000</v>
      </c>
      <c r="AH98" s="45">
        <f t="shared" si="95"/>
        <v>14000</v>
      </c>
      <c r="AI98" s="45">
        <f t="shared" si="95"/>
        <v>16000</v>
      </c>
      <c r="AJ98" s="45">
        <f t="shared" si="95"/>
        <v>17000</v>
      </c>
      <c r="AK98" s="45">
        <f t="shared" si="95"/>
        <v>18000</v>
      </c>
      <c r="AL98" s="45">
        <f t="shared" si="95"/>
        <v>19000</v>
      </c>
      <c r="AM98" s="45">
        <f t="shared" si="95"/>
        <v>20000</v>
      </c>
      <c r="AN98" s="45">
        <f t="shared" si="95"/>
        <v>21000</v>
      </c>
      <c r="AO98" s="45">
        <f t="shared" ref="AO98" si="96">SUM(AC98:AN98)</f>
        <v>172000</v>
      </c>
    </row>
    <row r="99" spans="2:43" ht="7.25" customHeight="1" x14ac:dyDescent="0.2">
      <c r="H99" s="151"/>
      <c r="I99" s="151"/>
      <c r="J99" s="151"/>
      <c r="K99" s="151"/>
      <c r="L99" s="151"/>
      <c r="M99" s="151"/>
      <c r="N99" s="151"/>
      <c r="O99" s="151"/>
      <c r="P99" s="151"/>
      <c r="Q99" s="151"/>
      <c r="R99" s="151"/>
      <c r="S99" s="151"/>
      <c r="T99" s="151"/>
      <c r="U99" s="116"/>
      <c r="V99" s="151"/>
      <c r="W99" s="151"/>
      <c r="X99" s="151"/>
      <c r="Y99" s="151"/>
      <c r="Z99" s="151"/>
      <c r="AA99" s="151"/>
      <c r="AB99" s="116"/>
    </row>
    <row r="100" spans="2:43" s="10" customFormat="1" x14ac:dyDescent="0.2">
      <c r="B100" s="136" t="s">
        <v>589</v>
      </c>
      <c r="C100" s="137"/>
      <c r="D100" s="195"/>
      <c r="E100" s="195"/>
      <c r="F100" s="195"/>
      <c r="G100" s="195"/>
      <c r="H100" s="152"/>
      <c r="I100" s="152"/>
      <c r="J100" s="152"/>
      <c r="K100" s="152"/>
      <c r="L100" s="152"/>
      <c r="M100" s="152"/>
      <c r="N100" s="152"/>
      <c r="O100" s="152"/>
      <c r="P100" s="152"/>
      <c r="Q100" s="152"/>
      <c r="R100" s="152"/>
      <c r="S100" s="152"/>
      <c r="T100" s="152"/>
      <c r="U100" s="168"/>
      <c r="V100" s="152"/>
      <c r="W100" s="152"/>
      <c r="X100" s="152"/>
      <c r="Y100" s="152"/>
      <c r="Z100" s="152"/>
      <c r="AA100" s="152"/>
      <c r="AB100" s="168"/>
      <c r="AC100" s="138">
        <f t="shared" ref="AC100:AO100" si="97">AC98+AC96+AC92+AC88</f>
        <v>34335.783536865943</v>
      </c>
      <c r="AD100" s="138">
        <f t="shared" si="97"/>
        <v>57408.940010704871</v>
      </c>
      <c r="AE100" s="138">
        <f t="shared" si="97"/>
        <v>93317.880021409743</v>
      </c>
      <c r="AF100" s="138">
        <f t="shared" si="97"/>
        <v>104808.51989642621</v>
      </c>
      <c r="AG100" s="138">
        <f t="shared" si="97"/>
        <v>115889.62337080037</v>
      </c>
      <c r="AH100" s="138">
        <f t="shared" si="97"/>
        <v>124445.25237454708</v>
      </c>
      <c r="AI100" s="138">
        <f t="shared" si="97"/>
        <v>143857.23897872196</v>
      </c>
      <c r="AJ100" s="138">
        <f t="shared" si="97"/>
        <v>152731.39629407937</v>
      </c>
      <c r="AK100" s="138">
        <f t="shared" si="97"/>
        <v>161651.05765395254</v>
      </c>
      <c r="AL100" s="138">
        <f t="shared" si="97"/>
        <v>170616.22305834154</v>
      </c>
      <c r="AM100" s="138">
        <f t="shared" si="97"/>
        <v>179626.89250724635</v>
      </c>
      <c r="AN100" s="138">
        <f t="shared" si="97"/>
        <v>188683.06600066693</v>
      </c>
      <c r="AO100" s="139">
        <f t="shared" si="97"/>
        <v>1527371.8737037629</v>
      </c>
      <c r="AQ100" s="70"/>
    </row>
    <row r="101" spans="2:43" x14ac:dyDescent="0.2">
      <c r="B101" s="23" t="s">
        <v>695</v>
      </c>
      <c r="AC101" s="31">
        <f t="shared" ref="AC101:AO101" si="98">AC100/AC65</f>
        <v>1.5243748111729967</v>
      </c>
      <c r="AD101" s="31">
        <f t="shared" si="98"/>
        <v>0.84108186604172186</v>
      </c>
      <c r="AE101" s="31">
        <f t="shared" si="98"/>
        <v>0.68358670834916491</v>
      </c>
      <c r="AF101" s="31">
        <f t="shared" si="98"/>
        <v>0.55234513530571017</v>
      </c>
      <c r="AG101" s="31">
        <f t="shared" si="98"/>
        <v>0.48510443874326242</v>
      </c>
      <c r="AH101" s="31">
        <f t="shared" si="98"/>
        <v>0.47356145326050986</v>
      </c>
      <c r="AI101" s="31">
        <f t="shared" si="98"/>
        <v>0.49707807236001927</v>
      </c>
      <c r="AJ101" s="31">
        <f t="shared" si="98"/>
        <v>0.48259318898447723</v>
      </c>
      <c r="AK101" s="31">
        <f t="shared" si="98"/>
        <v>0.469901417799518</v>
      </c>
      <c r="AL101" s="31">
        <f t="shared" si="98"/>
        <v>0.45865123030479177</v>
      </c>
      <c r="AM101" s="31">
        <f t="shared" si="98"/>
        <v>0.44857873828624878</v>
      </c>
      <c r="AN101" s="31">
        <f t="shared" si="98"/>
        <v>0.4394819275141818</v>
      </c>
      <c r="AO101" s="31">
        <f t="shared" si="98"/>
        <v>0.49745281874420422</v>
      </c>
    </row>
    <row r="102" spans="2:43" x14ac:dyDescent="0.2">
      <c r="B102" s="116" t="s">
        <v>701</v>
      </c>
      <c r="AC102" s="55">
        <f>(AC88+AC91+AC96+AC98)/AC100</f>
        <v>0.91262759456824583</v>
      </c>
      <c r="AD102" s="55">
        <f t="shared" ref="AD102:AN102" si="99">(AD88+AD91+AD96+AD98)/AD100</f>
        <v>0.94774333057811899</v>
      </c>
      <c r="AE102" s="55">
        <f t="shared" si="99"/>
        <v>0.96785182004443615</v>
      </c>
      <c r="AF102" s="55">
        <f t="shared" si="99"/>
        <v>0.97137637280857836</v>
      </c>
      <c r="AG102" s="55">
        <f t="shared" si="99"/>
        <v>0.97411329925198564</v>
      </c>
      <c r="AH102" s="55">
        <f t="shared" si="99"/>
        <v>0.97589301365253533</v>
      </c>
      <c r="AI102" s="55">
        <f t="shared" si="99"/>
        <v>0.97914599208703201</v>
      </c>
      <c r="AJ102" s="55">
        <f t="shared" si="99"/>
        <v>0.98035767319102096</v>
      </c>
      <c r="AK102" s="55">
        <f t="shared" si="99"/>
        <v>0.98144150713556033</v>
      </c>
      <c r="AL102" s="55">
        <f t="shared" si="99"/>
        <v>0.98241667793235488</v>
      </c>
      <c r="AM102" s="55">
        <f t="shared" si="99"/>
        <v>0.98329871458484996</v>
      </c>
      <c r="AN102" s="55">
        <f t="shared" si="99"/>
        <v>0.98410032196535646</v>
      </c>
      <c r="AO102" s="55">
        <f>(AO88+AO91+AO96+AO98)/AO100</f>
        <v>0.97643010152288412</v>
      </c>
    </row>
    <row r="103" spans="2:43" x14ac:dyDescent="0.2">
      <c r="B103" s="116"/>
      <c r="AC103" s="4"/>
      <c r="AF103" s="4"/>
    </row>
  </sheetData>
  <dataValidations count="3">
    <dataValidation type="list" allowBlank="1" showInputMessage="1" showErrorMessage="1" sqref="BD7" xr:uid="{70D4F11F-24D7-4603-A12C-BA04B6D053CF}">
      <formula1>$BB$5:$BB$7</formula1>
    </dataValidation>
    <dataValidation type="list" allowBlank="1" showInputMessage="1" showErrorMessage="1" sqref="G12" xr:uid="{ABCB227F-051A-4F20-95BC-C6CF9F3A0896}">
      <formula1>$E$13:$G$13</formula1>
    </dataValidation>
    <dataValidation type="list" allowBlank="1" showInputMessage="1" showErrorMessage="1" sqref="G27" xr:uid="{F635CD22-07FF-40A2-A125-F2E1397FF956}">
      <formula1>$E$28:$G$28</formula1>
    </dataValidation>
  </dataValidations>
  <pageMargins left="0.6" right="0.6" top="1" bottom="1" header="0.5" footer="0.5"/>
  <pageSetup orientation="landscape" r:id="rId1"/>
  <headerFooter>
    <oddHeader>&amp;RDraft - Work in Progress</oddHeader>
    <oddFooter>&amp;L&amp;F
&amp;D, &amp;T&amp;C
Page &amp;P of &amp;N&amp;R&amp;A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63946-7C3B-44A3-B028-9D2D1CD66720}">
  <sheetPr codeName="Sheet5">
    <tabColor theme="9" tint="0.79998168889431442"/>
    <pageSetUpPr fitToPage="1"/>
  </sheetPr>
  <dimension ref="B1:Q1598"/>
  <sheetViews>
    <sheetView showGridLines="0" zoomScaleNormal="100" workbookViewId="0">
      <selection activeCell="O28" sqref="O28"/>
    </sheetView>
  </sheetViews>
  <sheetFormatPr baseColWidth="10" defaultColWidth="8.83203125" defaultRowHeight="15" outlineLevelRow="1" x14ac:dyDescent="0.2"/>
  <cols>
    <col min="1" max="1" width="1.83203125" style="67" customWidth="1"/>
    <col min="2" max="2" width="12.83203125" style="67" bestFit="1" customWidth="1"/>
    <col min="3" max="14" width="13" style="67" bestFit="1" customWidth="1"/>
    <col min="15" max="15" width="12.5" style="67" bestFit="1" customWidth="1"/>
    <col min="16" max="16" width="2.1640625" style="67" customWidth="1"/>
    <col min="17" max="17" width="12.5" style="67" bestFit="1" customWidth="1"/>
    <col min="18" max="18" width="12.6640625" style="67" bestFit="1" customWidth="1"/>
    <col min="19" max="19" width="29.6640625" style="67" bestFit="1" customWidth="1"/>
    <col min="20" max="20" width="12.6640625" style="67" bestFit="1" customWidth="1"/>
    <col min="21" max="21" width="29.6640625" style="67" bestFit="1" customWidth="1"/>
    <col min="22" max="22" width="12.6640625" style="67" bestFit="1" customWidth="1"/>
    <col min="23" max="23" width="29.6640625" style="67" bestFit="1" customWidth="1"/>
    <col min="24" max="24" width="12.6640625" style="67" bestFit="1" customWidth="1"/>
    <col min="25" max="25" width="29.6640625" style="67" bestFit="1" customWidth="1"/>
    <col min="26" max="26" width="12.6640625" style="67" bestFit="1" customWidth="1"/>
    <col min="27" max="27" width="34.1640625" style="67" bestFit="1" customWidth="1"/>
    <col min="28" max="28" width="17.1640625" style="67" bestFit="1" customWidth="1"/>
    <col min="29" max="16384" width="8.83203125" style="67"/>
  </cols>
  <sheetData>
    <row r="1" spans="2:17" x14ac:dyDescent="0.2">
      <c r="B1" s="8" t="s">
        <v>627</v>
      </c>
    </row>
    <row r="2" spans="2:17" x14ac:dyDescent="0.2">
      <c r="E2" s="4"/>
    </row>
    <row r="3" spans="2:17" ht="16" thickBot="1" x14ac:dyDescent="0.25"/>
    <row r="4" spans="2:17" ht="33" thickBot="1" x14ac:dyDescent="0.25">
      <c r="B4" s="113" t="s">
        <v>614</v>
      </c>
      <c r="C4" s="114" t="str" vm="1582">
        <f>CUBEMEMBER("ThisWorkbookDataModel","[TPData].[Close Month].&amp;[2018-07-01T00:00:00]")</f>
        <v>7/1/2018</v>
      </c>
      <c r="D4" s="114" t="str" vm="1583">
        <f>CUBEMEMBER("ThisWorkbookDataModel","[TPData].[Close Month].&amp;[2018-08-01T00:00:00]")</f>
        <v>8/1/2018</v>
      </c>
      <c r="E4" s="114" t="str" vm="1584">
        <f>CUBEMEMBER("ThisWorkbookDataModel","[TPData].[Close Month].&amp;[2018-09-01T00:00:00]")</f>
        <v>9/1/2018</v>
      </c>
      <c r="F4" s="114" t="str" vm="1585">
        <f>CUBEMEMBER("ThisWorkbookDataModel","[TPData].[Close Month].&amp;[2018-10-01T00:00:00]")</f>
        <v>10/1/2018</v>
      </c>
      <c r="G4" s="114" t="str" vm="1586">
        <f>CUBEMEMBER("ThisWorkbookDataModel","[TPData].[Close Month].&amp;[2018-11-01T00:00:00]")</f>
        <v>11/1/2018</v>
      </c>
      <c r="H4" s="114" t="str" vm="1587">
        <f>CUBEMEMBER("ThisWorkbookDataModel","[TPData].[Close Month].&amp;[2018-12-01T00:00:00]")</f>
        <v>12/1/2018</v>
      </c>
      <c r="I4" s="114" t="str" vm="1588">
        <f>CUBEMEMBER("ThisWorkbookDataModel","[TPData].[Close Month].&amp;[2019-01-01T00:00:00]")</f>
        <v>1/1/2019</v>
      </c>
      <c r="J4" s="114" t="str" vm="1589">
        <f>CUBEMEMBER("ThisWorkbookDataModel","[TPData].[Close Month].&amp;[2019-02-01T00:00:00]")</f>
        <v>2/1/2019</v>
      </c>
      <c r="K4" s="114" t="str" vm="1590">
        <f>CUBEMEMBER("ThisWorkbookDataModel","[TPData].[Close Month].&amp;[2019-03-01T00:00:00]")</f>
        <v>3/1/2019</v>
      </c>
      <c r="L4" s="114" t="str" vm="1591">
        <f>CUBEMEMBER("ThisWorkbookDataModel","[TPData].[Close Month].&amp;[2019-04-01T00:00:00]")</f>
        <v>4/1/2019</v>
      </c>
      <c r="M4" s="114" t="str" vm="1592">
        <f>CUBEMEMBER("ThisWorkbookDataModel","[TPData].[Close Month].&amp;[2019-05-01T00:00:00]")</f>
        <v>5/1/2019</v>
      </c>
      <c r="N4" s="114" t="str" vm="1593">
        <f>CUBEMEMBER("ThisWorkbookDataModel","[TPData].[Close Month].&amp;[2019-06-01T00:00:00]")</f>
        <v>6/1/2019</v>
      </c>
      <c r="O4" s="115" t="str" vm="1599">
        <f>CUBEMEMBER("ThisWorkbookDataModel","[TPData].[Close Month].[All]","LTM 
June 2019")</f>
        <v>LTM 
June 2019</v>
      </c>
      <c r="P4"/>
      <c r="Q4" s="192" t="s">
        <v>617</v>
      </c>
    </row>
    <row r="5" spans="2:17" x14ac:dyDescent="0.2">
      <c r="B5" s="10" t="str" vm="475">
        <f>CUBEMEMBER("ThisWorkbookDataModel","[Measures].[Sum of Annual Contract Value (ACV)]","New Client ACV")</f>
        <v>New Client ACV</v>
      </c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Q5" s="112"/>
    </row>
    <row r="6" spans="2:17" x14ac:dyDescent="0.2">
      <c r="B6" s="67" t="str" vm="1595">
        <f>CUBEMEMBER("ThisWorkbookDataModel","[TPData].[Deal Size].&amp;[Small (&lt;5k)]")</f>
        <v>Small (&lt;5k)</v>
      </c>
      <c r="C6" s="3" vm="1602">
        <f t="shared" ref="C6:O10" si="0">CUBEVALUE("ThisWorkbookDataModel",$B$5,$B6,C$4)</f>
        <v>54739.08</v>
      </c>
      <c r="D6" s="3" vm="1652">
        <f t="shared" si="0"/>
        <v>96540.6</v>
      </c>
      <c r="E6" s="3" vm="1622">
        <f t="shared" si="0"/>
        <v>65843.399999999994</v>
      </c>
      <c r="F6" s="3" vm="1612">
        <f t="shared" si="0"/>
        <v>61092.536</v>
      </c>
      <c r="G6" s="3" vm="1601">
        <f t="shared" si="0"/>
        <v>33601.3632</v>
      </c>
      <c r="H6" s="3" vm="1653">
        <f t="shared" si="0"/>
        <v>58497.57</v>
      </c>
      <c r="I6" s="3" vm="1633">
        <f t="shared" si="0"/>
        <v>48191.426999999996</v>
      </c>
      <c r="J6" s="3" vm="1611">
        <f t="shared" si="0"/>
        <v>45393.047519999993</v>
      </c>
      <c r="K6" s="3" vm="1600">
        <f t="shared" si="0"/>
        <v>87465.583200000008</v>
      </c>
      <c r="L6" s="3" vm="1654">
        <f t="shared" si="0"/>
        <v>59802.038399999998</v>
      </c>
      <c r="M6" s="3" vm="1621">
        <f t="shared" si="0"/>
        <v>34546.800000000003</v>
      </c>
      <c r="N6" s="3" vm="1640">
        <f t="shared" si="0"/>
        <v>61989.203135999996</v>
      </c>
      <c r="O6" s="3" vm="1618">
        <f t="shared" si="0"/>
        <v>707702.64845599991</v>
      </c>
      <c r="P6"/>
      <c r="Q6" s="3">
        <f>AVERAGE(C6:N6)</f>
        <v>58975.220704666666</v>
      </c>
    </row>
    <row r="7" spans="2:17" x14ac:dyDescent="0.2">
      <c r="B7" s="67" t="str" vm="1594">
        <f>CUBEMEMBER("ThisWorkbookDataModel","[TPData].[Deal Size].&amp;[Medium (&lt;10k)]")</f>
        <v>Medium (&lt;10k)</v>
      </c>
      <c r="C7" s="3" vm="1629">
        <f t="shared" si="0"/>
        <v>55556.800000000003</v>
      </c>
      <c r="D7" s="3" vm="1636">
        <f t="shared" si="0"/>
        <v>58119.380735999999</v>
      </c>
      <c r="E7" s="3" vm="1608">
        <f t="shared" si="0"/>
        <v>69700.761839999992</v>
      </c>
      <c r="F7" s="3" vm="1646">
        <f t="shared" si="0"/>
        <v>135174.96360000002</v>
      </c>
      <c r="G7" s="3" vm="1625">
        <f t="shared" si="0"/>
        <v>88554.241199999989</v>
      </c>
      <c r="H7" s="3" vm="1615">
        <f t="shared" si="0"/>
        <v>107300.7444</v>
      </c>
      <c r="I7" s="3" vm="1607">
        <f t="shared" si="0"/>
        <v>68686.573600000003</v>
      </c>
      <c r="J7" s="3" vm="1647">
        <f t="shared" si="0"/>
        <v>78234.095759999997</v>
      </c>
      <c r="K7" s="3" vm="1630">
        <f t="shared" si="0"/>
        <v>75945.239999999991</v>
      </c>
      <c r="L7" s="3" vm="1637">
        <f t="shared" si="0"/>
        <v>137688.62</v>
      </c>
      <c r="M7" s="3" vm="1606">
        <f t="shared" si="0"/>
        <v>130064.37039999999</v>
      </c>
      <c r="N7" s="3" vm="1648">
        <f t="shared" si="0"/>
        <v>78206.924495999992</v>
      </c>
      <c r="O7" s="3" vm="1624">
        <f t="shared" si="0"/>
        <v>1083232.7160319998</v>
      </c>
      <c r="P7"/>
      <c r="Q7" s="3">
        <f>AVERAGE(C7:N7)</f>
        <v>90269.393002666664</v>
      </c>
    </row>
    <row r="8" spans="2:17" x14ac:dyDescent="0.2">
      <c r="B8" s="67" t="str" vm="1598">
        <f>CUBEMEMBER("ThisWorkbookDataModel","[TPData].[Deal Size].&amp;[Large (&lt;20k)]")</f>
        <v>Large (&lt;20k)</v>
      </c>
      <c r="C8" s="3" vm="1642">
        <f t="shared" si="0"/>
        <v>83620.478399999993</v>
      </c>
      <c r="D8" s="3" vm="1627">
        <f t="shared" si="0"/>
        <v>12408</v>
      </c>
      <c r="E8" s="3" vm="1617">
        <f t="shared" si="0"/>
        <v>45334.8</v>
      </c>
      <c r="F8" s="3" vm="1662">
        <f t="shared" si="0"/>
        <v>71100</v>
      </c>
      <c r="G8" s="3" vm="1643">
        <f t="shared" si="0"/>
        <v>165160.26</v>
      </c>
      <c r="H8" s="3" vm="1628">
        <f t="shared" si="0"/>
        <v>148238.55839999998</v>
      </c>
      <c r="I8" s="3" vm="1635">
        <f t="shared" si="0"/>
        <v>98167.12</v>
      </c>
      <c r="J8" s="3" vm="1663">
        <f t="shared" si="0"/>
        <v>37060</v>
      </c>
      <c r="K8" s="3" vm="1644">
        <f t="shared" si="0"/>
        <v>127809.60000000001</v>
      </c>
      <c r="L8" s="3" vm="1626">
        <f t="shared" si="0"/>
        <v>98666.176000000007</v>
      </c>
      <c r="M8" s="3" vm="1616">
        <f t="shared" si="0"/>
        <v>105613.04000000001</v>
      </c>
      <c r="N8" s="3" vm="1664">
        <f t="shared" si="0"/>
        <v>78684.87999999999</v>
      </c>
      <c r="O8" s="3" vm="1645">
        <f t="shared" si="0"/>
        <v>1071862.9128</v>
      </c>
      <c r="P8"/>
      <c r="Q8" s="3">
        <f>AVERAGE(C8:N8)</f>
        <v>89321.90939999999</v>
      </c>
    </row>
    <row r="9" spans="2:17" x14ac:dyDescent="0.2">
      <c r="B9" s="11" t="str" vm="1596">
        <f>CUBEMEMBER("ThisWorkbookDataModel","[TPData].[Deal Size].&amp;[Mega (20k+)]")</f>
        <v>Mega (20k+)</v>
      </c>
      <c r="C9" s="79" vm="1614">
        <f t="shared" si="0"/>
        <v>20000</v>
      </c>
      <c r="D9" s="79" vm="1605">
        <f t="shared" si="0"/>
        <v>28005.120000000003</v>
      </c>
      <c r="E9" s="79" t="str" vm="1649">
        <f t="shared" si="0"/>
        <v/>
      </c>
      <c r="F9" s="79" vm="1631">
        <f t="shared" si="0"/>
        <v>69300.000000000015</v>
      </c>
      <c r="G9" s="79" t="str" vm="1638">
        <f t="shared" si="0"/>
        <v/>
      </c>
      <c r="H9" s="79" vm="1604">
        <f t="shared" si="0"/>
        <v>61080</v>
      </c>
      <c r="I9" s="79" vm="1650">
        <f t="shared" si="0"/>
        <v>104760.72000000002</v>
      </c>
      <c r="J9" s="79" vm="1623">
        <f t="shared" si="0"/>
        <v>70974.748800000001</v>
      </c>
      <c r="K9" s="79" vm="1613">
        <f t="shared" si="0"/>
        <v>119442.72</v>
      </c>
      <c r="L9" s="79" t="str" vm="1603">
        <f t="shared" si="0"/>
        <v/>
      </c>
      <c r="M9" s="79" vm="1651">
        <f t="shared" si="0"/>
        <v>40824</v>
      </c>
      <c r="N9" s="79" vm="1632">
        <f t="shared" si="0"/>
        <v>24010.800000000003</v>
      </c>
      <c r="O9" s="79" vm="1639">
        <f t="shared" si="0"/>
        <v>538398.10879999993</v>
      </c>
      <c r="P9"/>
      <c r="Q9" s="79">
        <f>AVERAGE(C9:N9)</f>
        <v>59822.012088888892</v>
      </c>
    </row>
    <row r="10" spans="2:17" x14ac:dyDescent="0.2">
      <c r="B10" s="67" t="str" vm="1597">
        <f>CUBEMEMBER("ThisWorkbookDataModel","[TPData].[Deal Size].[All]","Grand Total")</f>
        <v>Grand Total</v>
      </c>
      <c r="C10" s="3" vm="1655">
        <f t="shared" si="0"/>
        <v>213916.3584</v>
      </c>
      <c r="D10" s="3" vm="1620">
        <f t="shared" si="0"/>
        <v>195073.10073599999</v>
      </c>
      <c r="E10" s="3" vm="1610">
        <f t="shared" si="0"/>
        <v>180878.96184000003</v>
      </c>
      <c r="F10" s="3" vm="1659">
        <f t="shared" si="0"/>
        <v>336667.49959999998</v>
      </c>
      <c r="G10" s="3" vm="1656">
        <f t="shared" si="0"/>
        <v>287315.86439999996</v>
      </c>
      <c r="H10" s="3" vm="1634">
        <f t="shared" si="0"/>
        <v>375116.87280000001</v>
      </c>
      <c r="I10" s="3" vm="1641">
        <f t="shared" si="0"/>
        <v>319805.84060000005</v>
      </c>
      <c r="J10" s="3" vm="1660">
        <f t="shared" si="0"/>
        <v>231661.89207999999</v>
      </c>
      <c r="K10" s="3" vm="1657">
        <f t="shared" si="0"/>
        <v>410663.14320000005</v>
      </c>
      <c r="L10" s="3" vm="1619">
        <f t="shared" si="0"/>
        <v>296156.83440000005</v>
      </c>
      <c r="M10" s="3" vm="1609">
        <f t="shared" si="0"/>
        <v>311048.21039999998</v>
      </c>
      <c r="N10" s="3" vm="1661">
        <f t="shared" si="0"/>
        <v>242891.80763200004</v>
      </c>
      <c r="O10" s="3" vm="1658">
        <f t="shared" si="0"/>
        <v>3401196.3860880006</v>
      </c>
      <c r="P10"/>
      <c r="Q10" s="3">
        <f>AVERAGE(C10:N10)</f>
        <v>283433.03217400005</v>
      </c>
    </row>
    <row r="11" spans="2:17" x14ac:dyDescent="0.2"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2:17" ht="6.5" customHeight="1" x14ac:dyDescent="0.2"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</row>
    <row r="13" spans="2:17" x14ac:dyDescent="0.2">
      <c r="B13" s="10" t="str" vm="1665">
        <f>CUBEMEMBER("ThisWorkbookDataModel","[Measures].[Count of Client]","# of New Clients")</f>
        <v># of New Clients</v>
      </c>
      <c r="C13"/>
      <c r="D13"/>
      <c r="E13"/>
      <c r="F13"/>
      <c r="G13"/>
      <c r="H13"/>
      <c r="I13"/>
      <c r="J13"/>
      <c r="K13"/>
      <c r="L13"/>
      <c r="M13"/>
      <c r="N13"/>
      <c r="O13"/>
    </row>
    <row r="14" spans="2:17" hidden="1" outlineLevel="1" x14ac:dyDescent="0.2">
      <c r="B14" s="73" t="s">
        <v>614</v>
      </c>
      <c r="C14" s="74" t="str" vm="1582">
        <f>CUBEMEMBER("ThisWorkbookDataModel","[TPData].[Close Month].&amp;[2018-07-01T00:00:00]")</f>
        <v>7/1/2018</v>
      </c>
      <c r="D14" s="74" t="str" vm="1583">
        <f>CUBEMEMBER("ThisWorkbookDataModel","[TPData].[Close Month].&amp;[2018-08-01T00:00:00]")</f>
        <v>8/1/2018</v>
      </c>
      <c r="E14" s="74" t="str" vm="1584">
        <f>CUBEMEMBER("ThisWorkbookDataModel","[TPData].[Close Month].&amp;[2018-09-01T00:00:00]")</f>
        <v>9/1/2018</v>
      </c>
      <c r="F14" s="74" t="str" vm="1585">
        <f>CUBEMEMBER("ThisWorkbookDataModel","[TPData].[Close Month].&amp;[2018-10-01T00:00:00]")</f>
        <v>10/1/2018</v>
      </c>
      <c r="G14" s="74" t="str" vm="1586">
        <f>CUBEMEMBER("ThisWorkbookDataModel","[TPData].[Close Month].&amp;[2018-11-01T00:00:00]")</f>
        <v>11/1/2018</v>
      </c>
      <c r="H14" s="74" t="str" vm="1587">
        <f>CUBEMEMBER("ThisWorkbookDataModel","[TPData].[Close Month].&amp;[2018-12-01T00:00:00]")</f>
        <v>12/1/2018</v>
      </c>
      <c r="I14" s="74" t="str" vm="1588">
        <f>CUBEMEMBER("ThisWorkbookDataModel","[TPData].[Close Month].&amp;[2019-01-01T00:00:00]")</f>
        <v>1/1/2019</v>
      </c>
      <c r="J14" s="74" t="str" vm="1589">
        <f>CUBEMEMBER("ThisWorkbookDataModel","[TPData].[Close Month].&amp;[2019-02-01T00:00:00]")</f>
        <v>2/1/2019</v>
      </c>
      <c r="K14" s="74" t="str" vm="1590">
        <f>CUBEMEMBER("ThisWorkbookDataModel","[TPData].[Close Month].&amp;[2019-03-01T00:00:00]")</f>
        <v>3/1/2019</v>
      </c>
      <c r="L14" s="74" t="str" vm="1591">
        <f>CUBEMEMBER("ThisWorkbookDataModel","[TPData].[Close Month].&amp;[2019-04-01T00:00:00]")</f>
        <v>4/1/2019</v>
      </c>
      <c r="M14" s="74" t="str" vm="1592">
        <f>CUBEMEMBER("ThisWorkbookDataModel","[TPData].[Close Month].&amp;[2019-05-01T00:00:00]")</f>
        <v>5/1/2019</v>
      </c>
      <c r="N14" s="74" t="str" vm="1593">
        <f>CUBEMEMBER("ThisWorkbookDataModel","[TPData].[Close Month].&amp;[2019-06-01T00:00:00]")</f>
        <v>6/1/2019</v>
      </c>
      <c r="O14" s="74" t="str" vm="1599">
        <f>CUBEMEMBER("ThisWorkbookDataModel","[TPData].[Close Month].[All]","Grand Total")</f>
        <v>Grand Total</v>
      </c>
      <c r="Q14" s="74"/>
    </row>
    <row r="15" spans="2:17" collapsed="1" x14ac:dyDescent="0.2">
      <c r="B15" s="67" t="str" vm="1595">
        <f>CUBEMEMBER("ThisWorkbookDataModel","[TPData].[Deal Size].&amp;[Small (&lt;5k)]")</f>
        <v>Small (&lt;5k)</v>
      </c>
      <c r="C15" s="3" vm="1672">
        <f t="shared" ref="C15:O19" si="1">CUBEVALUE("ThisWorkbookDataModel",$B$13,$B15,C$14)</f>
        <v>22</v>
      </c>
      <c r="D15" s="3" vm="1724">
        <f t="shared" si="1"/>
        <v>35</v>
      </c>
      <c r="E15" s="3" vm="1700">
        <f t="shared" si="1"/>
        <v>27</v>
      </c>
      <c r="F15" s="3" vm="1710">
        <f t="shared" si="1"/>
        <v>24</v>
      </c>
      <c r="G15" s="3" vm="1671">
        <f t="shared" si="1"/>
        <v>13</v>
      </c>
      <c r="H15" s="3" vm="1725">
        <f t="shared" si="1"/>
        <v>21</v>
      </c>
      <c r="I15" s="3" vm="1701">
        <f t="shared" si="1"/>
        <v>15</v>
      </c>
      <c r="J15" s="3" vm="1683">
        <f t="shared" si="1"/>
        <v>18</v>
      </c>
      <c r="K15" s="3" vm="1670">
        <f t="shared" si="1"/>
        <v>34</v>
      </c>
      <c r="L15" s="3" vm="1726">
        <f t="shared" si="1"/>
        <v>26</v>
      </c>
      <c r="M15" s="3" vm="1702">
        <f t="shared" si="1"/>
        <v>17</v>
      </c>
      <c r="N15" s="3" vm="1711">
        <f t="shared" si="1"/>
        <v>21</v>
      </c>
      <c r="O15" s="3" vm="1669">
        <f t="shared" si="1"/>
        <v>273</v>
      </c>
      <c r="Q15" s="3">
        <f>AVERAGE(C15:N15)</f>
        <v>22.75</v>
      </c>
    </row>
    <row r="16" spans="2:17" x14ac:dyDescent="0.2">
      <c r="B16" s="67" t="str" vm="1594">
        <f>CUBEMEMBER("ThisWorkbookDataModel","[TPData].[Deal Size].&amp;[Medium (&lt;10k)]")</f>
        <v>Medium (&lt;10k)</v>
      </c>
      <c r="C16" s="3" vm="1693">
        <f t="shared" si="1"/>
        <v>8</v>
      </c>
      <c r="D16" s="3" vm="1706">
        <f t="shared" si="1"/>
        <v>8</v>
      </c>
      <c r="E16" s="3" vm="1678">
        <f t="shared" si="1"/>
        <v>11</v>
      </c>
      <c r="F16" s="3" vm="1718">
        <f t="shared" si="1"/>
        <v>20</v>
      </c>
      <c r="G16" s="3" vm="1694">
        <f t="shared" si="1"/>
        <v>14</v>
      </c>
      <c r="H16" s="3" vm="1686">
        <f t="shared" si="1"/>
        <v>16</v>
      </c>
      <c r="I16" s="3" vm="1677">
        <f t="shared" si="1"/>
        <v>9</v>
      </c>
      <c r="J16" s="3" vm="1719">
        <f t="shared" si="1"/>
        <v>12</v>
      </c>
      <c r="K16" s="3" vm="1695">
        <f t="shared" si="1"/>
        <v>10</v>
      </c>
      <c r="L16" s="3" vm="1685">
        <f t="shared" si="1"/>
        <v>20</v>
      </c>
      <c r="M16" s="3" vm="1676">
        <f t="shared" si="1"/>
        <v>18</v>
      </c>
      <c r="N16" s="3" vm="1720">
        <f t="shared" si="1"/>
        <v>11</v>
      </c>
      <c r="O16" s="3" vm="1696">
        <f t="shared" si="1"/>
        <v>157</v>
      </c>
      <c r="Q16" s="3">
        <f>AVERAGE(C16:N16)</f>
        <v>13.083333333333334</v>
      </c>
    </row>
    <row r="17" spans="2:17" x14ac:dyDescent="0.2">
      <c r="B17" s="67" t="str" vm="1598">
        <f>CUBEMEMBER("ThisWorkbookDataModel","[TPData].[Deal Size].&amp;[Large (&lt;20k)]")</f>
        <v>Large (&lt;20k)</v>
      </c>
      <c r="C17" s="3" vm="1714">
        <f t="shared" si="1"/>
        <v>6</v>
      </c>
      <c r="D17" s="3" vm="1690">
        <f t="shared" si="1"/>
        <v>1</v>
      </c>
      <c r="E17" s="3" vm="1688">
        <f t="shared" si="1"/>
        <v>3</v>
      </c>
      <c r="F17" s="3" vm="1681">
        <f t="shared" si="1"/>
        <v>4</v>
      </c>
      <c r="G17" s="3" vm="1715">
        <f t="shared" si="1"/>
        <v>12</v>
      </c>
      <c r="H17" s="3" vm="1691">
        <f t="shared" si="1"/>
        <v>11</v>
      </c>
      <c r="I17" s="3" vm="1705">
        <f t="shared" si="1"/>
        <v>8</v>
      </c>
      <c r="J17" s="3" vm="1680">
        <f t="shared" si="1"/>
        <v>3</v>
      </c>
      <c r="K17" s="3" vm="1716">
        <f t="shared" si="1"/>
        <v>9</v>
      </c>
      <c r="L17" s="3" vm="1692">
        <f t="shared" si="1"/>
        <v>7</v>
      </c>
      <c r="M17" s="3" vm="1687">
        <f t="shared" si="1"/>
        <v>8</v>
      </c>
      <c r="N17" s="3" vm="1679">
        <f t="shared" si="1"/>
        <v>6</v>
      </c>
      <c r="O17" s="3" vm="1717">
        <f t="shared" si="1"/>
        <v>78</v>
      </c>
      <c r="Q17" s="3">
        <f>AVERAGE(C17:N17)</f>
        <v>6.5</v>
      </c>
    </row>
    <row r="18" spans="2:17" x14ac:dyDescent="0.2">
      <c r="B18" s="11" t="str" vm="1596">
        <f>CUBEMEMBER("ThisWorkbookDataModel","[TPData].[Deal Size].&amp;[Mega (20k+)]")</f>
        <v>Mega (20k+)</v>
      </c>
      <c r="C18" s="79" vm="1707">
        <f t="shared" si="1"/>
        <v>1</v>
      </c>
      <c r="D18" s="79" vm="1675">
        <f t="shared" si="1"/>
        <v>1</v>
      </c>
      <c r="E18" s="79" t="str" vm="1721">
        <f t="shared" si="1"/>
        <v/>
      </c>
      <c r="F18" s="79" vm="1697">
        <f t="shared" si="1"/>
        <v>2</v>
      </c>
      <c r="G18" s="79" t="str" vm="1708">
        <f t="shared" si="1"/>
        <v/>
      </c>
      <c r="H18" s="79" vm="1674">
        <f t="shared" si="1"/>
        <v>2</v>
      </c>
      <c r="I18" s="79" vm="1722">
        <f t="shared" si="1"/>
        <v>3</v>
      </c>
      <c r="J18" s="79" vm="1698">
        <f t="shared" si="1"/>
        <v>3</v>
      </c>
      <c r="K18" s="79" vm="1709">
        <f t="shared" si="1"/>
        <v>4</v>
      </c>
      <c r="L18" s="79" t="str" vm="1673">
        <f t="shared" si="1"/>
        <v/>
      </c>
      <c r="M18" s="79" vm="1723">
        <f t="shared" si="1"/>
        <v>1</v>
      </c>
      <c r="N18" s="79" vm="1699">
        <f t="shared" si="1"/>
        <v>1</v>
      </c>
      <c r="O18" s="79" vm="1684">
        <f t="shared" si="1"/>
        <v>18</v>
      </c>
      <c r="Q18" s="79">
        <f>AVERAGE(C18:N18)</f>
        <v>2</v>
      </c>
    </row>
    <row r="19" spans="2:17" x14ac:dyDescent="0.2">
      <c r="B19" s="67" t="str" vm="1597">
        <f>CUBEMEMBER("ThisWorkbookDataModel","[TPData].[Deal Size].[All]","Grand Total")</f>
        <v>Grand Total</v>
      </c>
      <c r="C19" s="3" vm="1727">
        <f t="shared" si="1"/>
        <v>37</v>
      </c>
      <c r="D19" s="3" vm="1703">
        <f t="shared" si="1"/>
        <v>45</v>
      </c>
      <c r="E19" s="3" vm="1712">
        <f t="shared" si="1"/>
        <v>41</v>
      </c>
      <c r="F19" s="3" vm="1668">
        <f t="shared" si="1"/>
        <v>50</v>
      </c>
      <c r="G19" s="3" vm="1728">
        <f t="shared" si="1"/>
        <v>39</v>
      </c>
      <c r="H19" s="3" vm="1704">
        <f t="shared" si="1"/>
        <v>50</v>
      </c>
      <c r="I19" s="3" vm="1713">
        <f t="shared" si="1"/>
        <v>35</v>
      </c>
      <c r="J19" s="3" vm="1667">
        <f t="shared" si="1"/>
        <v>36</v>
      </c>
      <c r="K19" s="3" vm="1729">
        <f t="shared" si="1"/>
        <v>57</v>
      </c>
      <c r="L19" s="3" vm="1689">
        <f t="shared" si="1"/>
        <v>53</v>
      </c>
      <c r="M19" s="3" vm="1682">
        <f t="shared" si="1"/>
        <v>44</v>
      </c>
      <c r="N19" s="3" vm="1666">
        <f t="shared" si="1"/>
        <v>39</v>
      </c>
      <c r="O19" s="3" vm="1730">
        <f t="shared" si="1"/>
        <v>526</v>
      </c>
      <c r="Q19" s="3">
        <f>SUM(Q15:Q18)</f>
        <v>44.333333333333336</v>
      </c>
    </row>
    <row r="20" spans="2:17" ht="16" thickBot="1" x14ac:dyDescent="0.25">
      <c r="B20"/>
      <c r="C20" s="3"/>
      <c r="D20" s="3"/>
      <c r="E20" s="3"/>
      <c r="F20" s="3"/>
      <c r="G20" s="3"/>
      <c r="H20" s="3"/>
      <c r="I20" s="3"/>
      <c r="J20" s="3"/>
      <c r="K20" s="3"/>
      <c r="L20" s="3"/>
      <c r="M20" s="237"/>
      <c r="N20" s="3"/>
      <c r="O20" s="3"/>
      <c r="P20"/>
      <c r="Q20" s="3"/>
    </row>
    <row r="21" spans="2:17" x14ac:dyDescent="0.2">
      <c r="B21" s="75" t="s">
        <v>622</v>
      </c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238" t="s">
        <v>719</v>
      </c>
      <c r="N21" s="80"/>
      <c r="O21" s="80"/>
      <c r="Q21" s="238" t="s">
        <v>715</v>
      </c>
    </row>
    <row r="22" spans="2:17" x14ac:dyDescent="0.2">
      <c r="B22" s="76" t="s" vm="1595">
        <v>610</v>
      </c>
      <c r="C22" s="80">
        <f t="shared" ref="C22:O22" si="2">IFERROR(C6/C15,0)</f>
        <v>2488.14</v>
      </c>
      <c r="D22" s="80">
        <f t="shared" si="2"/>
        <v>2758.3028571428572</v>
      </c>
      <c r="E22" s="80">
        <f t="shared" si="2"/>
        <v>2438.6444444444442</v>
      </c>
      <c r="F22" s="80">
        <f t="shared" si="2"/>
        <v>2545.5223333333333</v>
      </c>
      <c r="G22" s="80">
        <f t="shared" si="2"/>
        <v>2584.7202461538463</v>
      </c>
      <c r="H22" s="80">
        <f t="shared" si="2"/>
        <v>2785.5985714285716</v>
      </c>
      <c r="I22" s="80">
        <f t="shared" si="2"/>
        <v>3212.7617999999998</v>
      </c>
      <c r="J22" s="80">
        <f t="shared" si="2"/>
        <v>2521.8359733333327</v>
      </c>
      <c r="K22" s="80">
        <f t="shared" si="2"/>
        <v>2572.5171529411768</v>
      </c>
      <c r="L22" s="80">
        <f t="shared" si="2"/>
        <v>2300.0783999999999</v>
      </c>
      <c r="M22" s="235">
        <f t="shared" si="2"/>
        <v>2032.164705882353</v>
      </c>
      <c r="N22" s="80">
        <f t="shared" si="2"/>
        <v>2951.8668159999997</v>
      </c>
      <c r="O22" s="80">
        <f t="shared" si="2"/>
        <v>2592.3173936117214</v>
      </c>
      <c r="P22"/>
      <c r="Q22" s="235">
        <f>AVERAGE(C22:N22)</f>
        <v>2599.3461083883267</v>
      </c>
    </row>
    <row r="23" spans="2:17" x14ac:dyDescent="0.2">
      <c r="B23" s="76" t="s" vm="1594">
        <v>611</v>
      </c>
      <c r="C23" s="80">
        <f t="shared" ref="C23:O23" si="3">IFERROR(C7/C16,0)</f>
        <v>6944.6</v>
      </c>
      <c r="D23" s="80">
        <f t="shared" si="3"/>
        <v>7264.9225919999999</v>
      </c>
      <c r="E23" s="80">
        <f t="shared" si="3"/>
        <v>6336.4328945454536</v>
      </c>
      <c r="F23" s="80">
        <f t="shared" si="3"/>
        <v>6758.7481800000005</v>
      </c>
      <c r="G23" s="80">
        <f t="shared" si="3"/>
        <v>6325.3029428571417</v>
      </c>
      <c r="H23" s="80">
        <f t="shared" si="3"/>
        <v>6706.2965249999997</v>
      </c>
      <c r="I23" s="80">
        <f t="shared" si="3"/>
        <v>7631.8415111111117</v>
      </c>
      <c r="J23" s="80">
        <f t="shared" si="3"/>
        <v>6519.5079799999994</v>
      </c>
      <c r="K23" s="80">
        <f t="shared" si="3"/>
        <v>7594.5239999999994</v>
      </c>
      <c r="L23" s="80">
        <f t="shared" si="3"/>
        <v>6884.4309999999996</v>
      </c>
      <c r="M23" s="235">
        <f t="shared" si="3"/>
        <v>7225.7983555555547</v>
      </c>
      <c r="N23" s="80">
        <f t="shared" si="3"/>
        <v>7109.7204087272721</v>
      </c>
      <c r="O23" s="80">
        <f t="shared" si="3"/>
        <v>6899.5714396942658</v>
      </c>
      <c r="P23"/>
      <c r="Q23" s="235">
        <f>AVERAGE(C23:N23)</f>
        <v>6941.8438658163768</v>
      </c>
    </row>
    <row r="24" spans="2:17" x14ac:dyDescent="0.2">
      <c r="B24" s="76" t="s" vm="1598">
        <v>612</v>
      </c>
      <c r="C24" s="80">
        <f t="shared" ref="C24:O24" si="4">IFERROR(C8/C17,0)</f>
        <v>13936.746399999998</v>
      </c>
      <c r="D24" s="80">
        <f t="shared" si="4"/>
        <v>12408</v>
      </c>
      <c r="E24" s="80">
        <f t="shared" si="4"/>
        <v>15111.6</v>
      </c>
      <c r="F24" s="80">
        <f t="shared" si="4"/>
        <v>17775</v>
      </c>
      <c r="G24" s="80">
        <f t="shared" si="4"/>
        <v>13763.355000000001</v>
      </c>
      <c r="H24" s="80">
        <f t="shared" si="4"/>
        <v>13476.23258181818</v>
      </c>
      <c r="I24" s="80">
        <f t="shared" si="4"/>
        <v>12270.89</v>
      </c>
      <c r="J24" s="80">
        <f t="shared" si="4"/>
        <v>12353.333333333334</v>
      </c>
      <c r="K24" s="80">
        <f t="shared" si="4"/>
        <v>14201.066666666668</v>
      </c>
      <c r="L24" s="80">
        <f t="shared" si="4"/>
        <v>14095.168000000001</v>
      </c>
      <c r="M24" s="235">
        <f t="shared" si="4"/>
        <v>13201.630000000001</v>
      </c>
      <c r="N24" s="80">
        <f t="shared" si="4"/>
        <v>13114.146666666666</v>
      </c>
      <c r="O24" s="80">
        <f t="shared" si="4"/>
        <v>13741.832215384617</v>
      </c>
      <c r="P24"/>
      <c r="Q24" s="235">
        <f>AVERAGE(C24:N24)</f>
        <v>13808.930720707069</v>
      </c>
    </row>
    <row r="25" spans="2:17" ht="16" thickBot="1" x14ac:dyDescent="0.25">
      <c r="B25" s="76" t="s" vm="1596">
        <v>613</v>
      </c>
      <c r="C25" s="80">
        <f t="shared" ref="C25:O25" si="5">IFERROR(C9/C18,0)</f>
        <v>20000</v>
      </c>
      <c r="D25" s="80">
        <f t="shared" si="5"/>
        <v>28005.120000000003</v>
      </c>
      <c r="E25" s="80">
        <f t="shared" si="5"/>
        <v>0</v>
      </c>
      <c r="F25" s="80">
        <f t="shared" si="5"/>
        <v>34650.000000000007</v>
      </c>
      <c r="G25" s="80">
        <f t="shared" si="5"/>
        <v>0</v>
      </c>
      <c r="H25" s="80">
        <f t="shared" si="5"/>
        <v>30540</v>
      </c>
      <c r="I25" s="80">
        <f t="shared" si="5"/>
        <v>34920.240000000005</v>
      </c>
      <c r="J25" s="80">
        <f t="shared" si="5"/>
        <v>23658.249599999999</v>
      </c>
      <c r="K25" s="80">
        <f t="shared" si="5"/>
        <v>29860.68</v>
      </c>
      <c r="L25" s="80">
        <f t="shared" si="5"/>
        <v>0</v>
      </c>
      <c r="M25" s="235">
        <f t="shared" si="5"/>
        <v>40824</v>
      </c>
      <c r="N25" s="80">
        <f t="shared" si="5"/>
        <v>24010.800000000003</v>
      </c>
      <c r="O25" s="80">
        <f t="shared" si="5"/>
        <v>29911.006044444439</v>
      </c>
      <c r="P25"/>
      <c r="Q25" s="236">
        <f>AVERAGE(C25:N25)</f>
        <v>22205.757466666666</v>
      </c>
    </row>
    <row r="26" spans="2:17" ht="16" thickBot="1" x14ac:dyDescent="0.25">
      <c r="B26" s="76" t="s">
        <v>722</v>
      </c>
      <c r="C26" s="80">
        <f>SUM(C22:C25)</f>
        <v>43369.486399999994</v>
      </c>
      <c r="D26" s="80">
        <f t="shared" ref="D26:O26" si="6">SUM(D22:D25)</f>
        <v>50436.345449142857</v>
      </c>
      <c r="E26" s="80">
        <f t="shared" si="6"/>
        <v>23886.677338989895</v>
      </c>
      <c r="F26" s="80">
        <f t="shared" si="6"/>
        <v>61729.270513333337</v>
      </c>
      <c r="G26" s="80">
        <f t="shared" si="6"/>
        <v>22673.378189010989</v>
      </c>
      <c r="H26" s="80">
        <f t="shared" si="6"/>
        <v>53508.127678246754</v>
      </c>
      <c r="I26" s="80">
        <f t="shared" si="6"/>
        <v>58035.733311111115</v>
      </c>
      <c r="J26" s="80">
        <f t="shared" si="6"/>
        <v>45052.926886666668</v>
      </c>
      <c r="K26" s="80">
        <f t="shared" si="6"/>
        <v>54228.787819607845</v>
      </c>
      <c r="L26" s="80">
        <f t="shared" si="6"/>
        <v>23279.6774</v>
      </c>
      <c r="M26" s="236">
        <f t="shared" si="6"/>
        <v>63283.59306143791</v>
      </c>
      <c r="N26" s="80">
        <f t="shared" si="6"/>
        <v>47186.533891393941</v>
      </c>
      <c r="O26" s="80">
        <f t="shared" si="6"/>
        <v>53144.727093135043</v>
      </c>
      <c r="P26"/>
    </row>
    <row r="27" spans="2:17" s="214" customFormat="1" x14ac:dyDescent="0.2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2:17" s="10" customFormat="1" x14ac:dyDescent="0.2">
      <c r="B28" s="10" t="s">
        <v>619</v>
      </c>
      <c r="C28" s="10">
        <v>12</v>
      </c>
      <c r="D28" s="10">
        <v>12</v>
      </c>
      <c r="E28" s="10">
        <v>12</v>
      </c>
      <c r="F28" s="10">
        <v>12</v>
      </c>
      <c r="G28" s="10">
        <v>12</v>
      </c>
      <c r="H28" s="10">
        <v>12</v>
      </c>
      <c r="I28" s="10">
        <v>12</v>
      </c>
      <c r="J28" s="10">
        <v>12</v>
      </c>
      <c r="K28" s="10">
        <v>12</v>
      </c>
      <c r="L28" s="10">
        <v>12</v>
      </c>
      <c r="M28" s="10">
        <v>12</v>
      </c>
      <c r="N28" s="10">
        <v>12</v>
      </c>
      <c r="O28" s="10">
        <v>12</v>
      </c>
      <c r="Q28" s="10">
        <f>AVERAGE(C28:N28)</f>
        <v>12</v>
      </c>
    </row>
    <row r="29" spans="2:17" ht="16" thickBot="1" x14ac:dyDescent="0.25"/>
    <row r="30" spans="2:17" x14ac:dyDescent="0.2">
      <c r="B30" s="75" t="s">
        <v>620</v>
      </c>
      <c r="C30" s="76"/>
      <c r="D30" s="76"/>
      <c r="E30" s="76"/>
      <c r="F30" s="76"/>
      <c r="G30" s="76"/>
      <c r="H30" s="76"/>
      <c r="I30" s="76"/>
      <c r="J30" s="76"/>
      <c r="K30" s="242" t="s">
        <v>714</v>
      </c>
      <c r="L30" s="76"/>
      <c r="M30" s="76"/>
      <c r="N30" s="76"/>
      <c r="O30" s="76"/>
      <c r="Q30" s="242" t="s">
        <v>715</v>
      </c>
    </row>
    <row r="31" spans="2:17" x14ac:dyDescent="0.2">
      <c r="B31" s="76" t="s" vm="1595">
        <v>610</v>
      </c>
      <c r="C31" s="77">
        <f>IFERROR(C15/$C$28,0)</f>
        <v>1.8333333333333333</v>
      </c>
      <c r="D31" s="77">
        <f t="shared" ref="D31:O31" si="7">IFERROR(D15/$C$28,0)</f>
        <v>2.9166666666666665</v>
      </c>
      <c r="E31" s="77">
        <f t="shared" si="7"/>
        <v>2.25</v>
      </c>
      <c r="F31" s="77">
        <f t="shared" si="7"/>
        <v>2</v>
      </c>
      <c r="G31" s="77">
        <f t="shared" si="7"/>
        <v>1.0833333333333333</v>
      </c>
      <c r="H31" s="77">
        <f t="shared" si="7"/>
        <v>1.75</v>
      </c>
      <c r="I31" s="77">
        <f t="shared" si="7"/>
        <v>1.25</v>
      </c>
      <c r="J31" s="77">
        <f t="shared" si="7"/>
        <v>1.5</v>
      </c>
      <c r="K31" s="239">
        <f t="shared" si="7"/>
        <v>2.8333333333333335</v>
      </c>
      <c r="L31" s="77">
        <f t="shared" si="7"/>
        <v>2.1666666666666665</v>
      </c>
      <c r="M31" s="77">
        <f t="shared" si="7"/>
        <v>1.4166666666666667</v>
      </c>
      <c r="N31" s="77">
        <f t="shared" si="7"/>
        <v>1.75</v>
      </c>
      <c r="O31" s="77">
        <f t="shared" si="7"/>
        <v>22.75</v>
      </c>
      <c r="P31"/>
      <c r="Q31" s="239">
        <f>AVERAGE(C31:N31)</f>
        <v>1.8958333333333337</v>
      </c>
    </row>
    <row r="32" spans="2:17" x14ac:dyDescent="0.2">
      <c r="B32" s="76" t="s" vm="1594">
        <v>611</v>
      </c>
      <c r="C32" s="77">
        <f t="shared" ref="C32:O32" si="8">IFERROR(C16/$C$28,0)</f>
        <v>0.66666666666666663</v>
      </c>
      <c r="D32" s="77">
        <f t="shared" si="8"/>
        <v>0.66666666666666663</v>
      </c>
      <c r="E32" s="77">
        <f t="shared" si="8"/>
        <v>0.91666666666666663</v>
      </c>
      <c r="F32" s="77">
        <f t="shared" si="8"/>
        <v>1.6666666666666667</v>
      </c>
      <c r="G32" s="77">
        <f t="shared" si="8"/>
        <v>1.1666666666666667</v>
      </c>
      <c r="H32" s="77">
        <f t="shared" si="8"/>
        <v>1.3333333333333333</v>
      </c>
      <c r="I32" s="77">
        <f t="shared" si="8"/>
        <v>0.75</v>
      </c>
      <c r="J32" s="77">
        <f t="shared" si="8"/>
        <v>1</v>
      </c>
      <c r="K32" s="239">
        <f t="shared" si="8"/>
        <v>0.83333333333333337</v>
      </c>
      <c r="L32" s="77">
        <f t="shared" si="8"/>
        <v>1.6666666666666667</v>
      </c>
      <c r="M32" s="77">
        <f t="shared" si="8"/>
        <v>1.5</v>
      </c>
      <c r="N32" s="77">
        <f t="shared" si="8"/>
        <v>0.91666666666666663</v>
      </c>
      <c r="O32" s="77">
        <f t="shared" si="8"/>
        <v>13.083333333333334</v>
      </c>
      <c r="P32"/>
      <c r="Q32" s="239">
        <f>AVERAGE(C32:N32)</f>
        <v>1.0902777777777779</v>
      </c>
    </row>
    <row r="33" spans="2:17" x14ac:dyDescent="0.2">
      <c r="B33" s="76" t="s" vm="1598">
        <v>612</v>
      </c>
      <c r="C33" s="77">
        <f t="shared" ref="C33:O33" si="9">IFERROR(C17/$C$28,0)</f>
        <v>0.5</v>
      </c>
      <c r="D33" s="77">
        <f t="shared" si="9"/>
        <v>8.3333333333333329E-2</v>
      </c>
      <c r="E33" s="77">
        <f t="shared" si="9"/>
        <v>0.25</v>
      </c>
      <c r="F33" s="77">
        <f t="shared" si="9"/>
        <v>0.33333333333333331</v>
      </c>
      <c r="G33" s="77">
        <f t="shared" si="9"/>
        <v>1</v>
      </c>
      <c r="H33" s="77">
        <f t="shared" si="9"/>
        <v>0.91666666666666663</v>
      </c>
      <c r="I33" s="77">
        <f t="shared" si="9"/>
        <v>0.66666666666666663</v>
      </c>
      <c r="J33" s="77">
        <f t="shared" si="9"/>
        <v>0.25</v>
      </c>
      <c r="K33" s="239">
        <f t="shared" si="9"/>
        <v>0.75</v>
      </c>
      <c r="L33" s="77">
        <f t="shared" si="9"/>
        <v>0.58333333333333337</v>
      </c>
      <c r="M33" s="77">
        <f t="shared" si="9"/>
        <v>0.66666666666666663</v>
      </c>
      <c r="N33" s="77">
        <f t="shared" si="9"/>
        <v>0.5</v>
      </c>
      <c r="O33" s="77">
        <f t="shared" si="9"/>
        <v>6.5</v>
      </c>
      <c r="P33"/>
      <c r="Q33" s="239">
        <f>AVERAGE(C33:N33)</f>
        <v>0.54166666666666663</v>
      </c>
    </row>
    <row r="34" spans="2:17" x14ac:dyDescent="0.2">
      <c r="B34" s="81" t="s" vm="1596">
        <v>613</v>
      </c>
      <c r="C34" s="82">
        <f t="shared" ref="C34:O34" si="10">IFERROR(C18/$C$28,0)</f>
        <v>8.3333333333333329E-2</v>
      </c>
      <c r="D34" s="82">
        <f t="shared" si="10"/>
        <v>8.3333333333333329E-2</v>
      </c>
      <c r="E34" s="82">
        <f t="shared" si="10"/>
        <v>0</v>
      </c>
      <c r="F34" s="82">
        <f t="shared" si="10"/>
        <v>0.16666666666666666</v>
      </c>
      <c r="G34" s="82">
        <f t="shared" si="10"/>
        <v>0</v>
      </c>
      <c r="H34" s="82">
        <f t="shared" si="10"/>
        <v>0.16666666666666666</v>
      </c>
      <c r="I34" s="82">
        <f t="shared" si="10"/>
        <v>0.25</v>
      </c>
      <c r="J34" s="82">
        <f t="shared" si="10"/>
        <v>0.25</v>
      </c>
      <c r="K34" s="240">
        <f t="shared" si="10"/>
        <v>0.33333333333333331</v>
      </c>
      <c r="L34" s="82">
        <f t="shared" si="10"/>
        <v>0</v>
      </c>
      <c r="M34" s="82">
        <f t="shared" si="10"/>
        <v>8.3333333333333329E-2</v>
      </c>
      <c r="N34" s="82">
        <f t="shared" si="10"/>
        <v>8.3333333333333329E-2</v>
      </c>
      <c r="O34" s="82">
        <f t="shared" si="10"/>
        <v>1.5</v>
      </c>
      <c r="P34"/>
      <c r="Q34" s="240">
        <f>AVERAGE(C34:N34)</f>
        <v>0.12499999999999999</v>
      </c>
    </row>
    <row r="35" spans="2:17" ht="16" thickBot="1" x14ac:dyDescent="0.25">
      <c r="B35" s="76" t="s">
        <v>547</v>
      </c>
      <c r="C35" s="77">
        <f>SUM(C31:C34)</f>
        <v>3.0833333333333335</v>
      </c>
      <c r="D35" s="77">
        <f t="shared" ref="D35:O35" si="11">SUM(D31:D34)</f>
        <v>3.75</v>
      </c>
      <c r="E35" s="77">
        <f t="shared" si="11"/>
        <v>3.4166666666666665</v>
      </c>
      <c r="F35" s="77">
        <f t="shared" si="11"/>
        <v>4.166666666666667</v>
      </c>
      <c r="G35" s="77">
        <f t="shared" si="11"/>
        <v>3.25</v>
      </c>
      <c r="H35" s="77">
        <f t="shared" si="11"/>
        <v>4.1666666666666661</v>
      </c>
      <c r="I35" s="77">
        <f t="shared" si="11"/>
        <v>2.9166666666666665</v>
      </c>
      <c r="J35" s="77">
        <f t="shared" si="11"/>
        <v>3</v>
      </c>
      <c r="K35" s="241">
        <f t="shared" si="11"/>
        <v>4.75</v>
      </c>
      <c r="L35" s="77">
        <f t="shared" si="11"/>
        <v>4.4166666666666661</v>
      </c>
      <c r="M35" s="77">
        <f t="shared" si="11"/>
        <v>3.666666666666667</v>
      </c>
      <c r="N35" s="77">
        <f t="shared" si="11"/>
        <v>3.25</v>
      </c>
      <c r="O35" s="77">
        <f t="shared" si="11"/>
        <v>43.833333333333336</v>
      </c>
      <c r="Q35" s="241">
        <f>AVERAGE(C35:N35)</f>
        <v>3.6527777777777772</v>
      </c>
    </row>
    <row r="36" spans="2:17" x14ac:dyDescent="0.2">
      <c r="B36"/>
      <c r="C36" s="4"/>
      <c r="D36"/>
      <c r="E36"/>
      <c r="F36"/>
      <c r="G36"/>
      <c r="H36"/>
      <c r="I36"/>
      <c r="J36"/>
      <c r="K36"/>
      <c r="L36"/>
      <c r="M36"/>
      <c r="N36"/>
      <c r="O36"/>
      <c r="P36"/>
    </row>
    <row r="37" spans="2:17" x14ac:dyDescent="0.2">
      <c r="B37" s="75" t="s">
        <v>621</v>
      </c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/>
      <c r="Q37" s="76"/>
    </row>
    <row r="38" spans="2:17" x14ac:dyDescent="0.2">
      <c r="B38" s="76" t="s" vm="1595">
        <v>610</v>
      </c>
      <c r="C38" s="78">
        <f>C31*C22</f>
        <v>4561.5899999999992</v>
      </c>
      <c r="D38" s="78">
        <f t="shared" ref="D38:O38" si="12">D31*D22</f>
        <v>8045.05</v>
      </c>
      <c r="E38" s="78">
        <f t="shared" si="12"/>
        <v>5486.9499999999989</v>
      </c>
      <c r="F38" s="78">
        <f t="shared" si="12"/>
        <v>5091.0446666666667</v>
      </c>
      <c r="G38" s="78">
        <f t="shared" si="12"/>
        <v>2800.1136000000001</v>
      </c>
      <c r="H38" s="78">
        <f t="shared" si="12"/>
        <v>4874.7975000000006</v>
      </c>
      <c r="I38" s="78">
        <f t="shared" si="12"/>
        <v>4015.9522499999998</v>
      </c>
      <c r="J38" s="78">
        <f t="shared" si="12"/>
        <v>3782.7539599999991</v>
      </c>
      <c r="K38" s="78">
        <f t="shared" si="12"/>
        <v>7288.7986000000019</v>
      </c>
      <c r="L38" s="78">
        <f t="shared" si="12"/>
        <v>4983.5031999999992</v>
      </c>
      <c r="M38" s="78">
        <f t="shared" si="12"/>
        <v>2878.9</v>
      </c>
      <c r="N38" s="78">
        <f t="shared" si="12"/>
        <v>5165.7669279999991</v>
      </c>
      <c r="O38" s="78">
        <f t="shared" si="12"/>
        <v>58975.220704666659</v>
      </c>
      <c r="P38"/>
      <c r="Q38" s="78">
        <f>AVERAGE(C38:N38)</f>
        <v>4914.6017253888886</v>
      </c>
    </row>
    <row r="39" spans="2:17" x14ac:dyDescent="0.2">
      <c r="B39" s="76" t="s" vm="1594">
        <v>611</v>
      </c>
      <c r="C39" s="78">
        <f>C32*C23</f>
        <v>4629.7333333333336</v>
      </c>
      <c r="D39" s="78">
        <f t="shared" ref="D39:O39" si="13">D32*D23</f>
        <v>4843.2817279999999</v>
      </c>
      <c r="E39" s="78">
        <f t="shared" si="13"/>
        <v>5808.396819999999</v>
      </c>
      <c r="F39" s="78">
        <f t="shared" si="13"/>
        <v>11264.580300000001</v>
      </c>
      <c r="G39" s="78">
        <f t="shared" si="13"/>
        <v>7379.5200999999988</v>
      </c>
      <c r="H39" s="78">
        <f t="shared" si="13"/>
        <v>8941.7286999999997</v>
      </c>
      <c r="I39" s="78">
        <f t="shared" si="13"/>
        <v>5723.8811333333342</v>
      </c>
      <c r="J39" s="78">
        <f t="shared" si="13"/>
        <v>6519.5079799999994</v>
      </c>
      <c r="K39" s="78">
        <f t="shared" si="13"/>
        <v>6328.7699999999995</v>
      </c>
      <c r="L39" s="78">
        <f t="shared" si="13"/>
        <v>11474.051666666666</v>
      </c>
      <c r="M39" s="78">
        <f t="shared" si="13"/>
        <v>10838.697533333332</v>
      </c>
      <c r="N39" s="78">
        <f t="shared" si="13"/>
        <v>6517.2437079999991</v>
      </c>
      <c r="O39" s="78">
        <f t="shared" si="13"/>
        <v>90269.393002666649</v>
      </c>
      <c r="P39"/>
      <c r="Q39" s="78">
        <f>AVERAGE(C39:N39)</f>
        <v>7522.4494168888878</v>
      </c>
    </row>
    <row r="40" spans="2:17" x14ac:dyDescent="0.2">
      <c r="B40" s="76" t="s" vm="1598">
        <v>612</v>
      </c>
      <c r="C40" s="78">
        <f>C33*C24</f>
        <v>6968.3731999999991</v>
      </c>
      <c r="D40" s="78">
        <f t="shared" ref="D40:O40" si="14">D33*D24</f>
        <v>1034</v>
      </c>
      <c r="E40" s="78">
        <f t="shared" si="14"/>
        <v>3777.9</v>
      </c>
      <c r="F40" s="78">
        <f t="shared" si="14"/>
        <v>5925</v>
      </c>
      <c r="G40" s="78">
        <f t="shared" si="14"/>
        <v>13763.355000000001</v>
      </c>
      <c r="H40" s="78">
        <f t="shared" si="14"/>
        <v>12353.213199999998</v>
      </c>
      <c r="I40" s="78">
        <f t="shared" si="14"/>
        <v>8180.5933333333323</v>
      </c>
      <c r="J40" s="78">
        <f t="shared" si="14"/>
        <v>3088.3333333333335</v>
      </c>
      <c r="K40" s="78">
        <f t="shared" si="14"/>
        <v>10650.800000000001</v>
      </c>
      <c r="L40" s="78">
        <f t="shared" si="14"/>
        <v>8222.1813333333339</v>
      </c>
      <c r="M40" s="78">
        <f t="shared" si="14"/>
        <v>8801.0866666666661</v>
      </c>
      <c r="N40" s="78">
        <f t="shared" si="14"/>
        <v>6557.0733333333328</v>
      </c>
      <c r="O40" s="78">
        <f t="shared" si="14"/>
        <v>89321.909400000004</v>
      </c>
      <c r="P40"/>
      <c r="Q40" s="78">
        <f>AVERAGE(C40:N40)</f>
        <v>7443.4924500000006</v>
      </c>
    </row>
    <row r="41" spans="2:17" x14ac:dyDescent="0.2">
      <c r="B41" s="81" t="s" vm="1596">
        <v>613</v>
      </c>
      <c r="C41" s="83">
        <f>C34*C25</f>
        <v>1666.6666666666665</v>
      </c>
      <c r="D41" s="83">
        <f t="shared" ref="D41:O41" si="15">D34*D25</f>
        <v>2333.7600000000002</v>
      </c>
      <c r="E41" s="83">
        <f t="shared" si="15"/>
        <v>0</v>
      </c>
      <c r="F41" s="83">
        <f t="shared" si="15"/>
        <v>5775.0000000000009</v>
      </c>
      <c r="G41" s="83">
        <f t="shared" si="15"/>
        <v>0</v>
      </c>
      <c r="H41" s="83">
        <f t="shared" si="15"/>
        <v>5090</v>
      </c>
      <c r="I41" s="83">
        <f t="shared" si="15"/>
        <v>8730.0600000000013</v>
      </c>
      <c r="J41" s="83">
        <f t="shared" si="15"/>
        <v>5914.5623999999998</v>
      </c>
      <c r="K41" s="83">
        <f t="shared" si="15"/>
        <v>9953.56</v>
      </c>
      <c r="L41" s="83">
        <f t="shared" si="15"/>
        <v>0</v>
      </c>
      <c r="M41" s="83">
        <f t="shared" si="15"/>
        <v>3402</v>
      </c>
      <c r="N41" s="83">
        <f t="shared" si="15"/>
        <v>2000.9</v>
      </c>
      <c r="O41" s="83">
        <f t="shared" si="15"/>
        <v>44866.509066666658</v>
      </c>
      <c r="P41"/>
      <c r="Q41" s="83">
        <f>AVERAGE(C41:N41)</f>
        <v>3738.8757555555562</v>
      </c>
    </row>
    <row r="42" spans="2:17" x14ac:dyDescent="0.2">
      <c r="B42" s="76" t="s">
        <v>547</v>
      </c>
      <c r="C42" s="80">
        <f>SUM(C38:C41)</f>
        <v>17826.3632</v>
      </c>
      <c r="D42" s="80">
        <f t="shared" ref="D42:O42" si="16">SUM(D38:D41)</f>
        <v>16256.091728000001</v>
      </c>
      <c r="E42" s="80">
        <f t="shared" si="16"/>
        <v>15073.246819999998</v>
      </c>
      <c r="F42" s="80">
        <f t="shared" si="16"/>
        <v>28055.62496666667</v>
      </c>
      <c r="G42" s="80">
        <f t="shared" si="16"/>
        <v>23942.988700000002</v>
      </c>
      <c r="H42" s="80">
        <f t="shared" si="16"/>
        <v>31259.739399999999</v>
      </c>
      <c r="I42" s="80">
        <f t="shared" si="16"/>
        <v>26650.48671666667</v>
      </c>
      <c r="J42" s="80">
        <f t="shared" si="16"/>
        <v>19305.157673333331</v>
      </c>
      <c r="K42" s="80">
        <f t="shared" si="16"/>
        <v>34221.928599999999</v>
      </c>
      <c r="L42" s="80">
        <f t="shared" si="16"/>
        <v>24679.736199999999</v>
      </c>
      <c r="M42" s="80">
        <f t="shared" si="16"/>
        <v>25920.684199999996</v>
      </c>
      <c r="N42" s="80">
        <f t="shared" si="16"/>
        <v>20240.983969333334</v>
      </c>
      <c r="O42" s="80">
        <f t="shared" si="16"/>
        <v>283433.03217399999</v>
      </c>
      <c r="P42"/>
      <c r="Q42" s="80">
        <f>AVERAGE(C42:N42)</f>
        <v>23619.419347833336</v>
      </c>
    </row>
    <row r="43" spans="2:17" x14ac:dyDescent="0.2">
      <c r="B43"/>
      <c r="C43" s="4"/>
      <c r="D43"/>
      <c r="E43"/>
      <c r="F43"/>
      <c r="G43"/>
      <c r="H43"/>
      <c r="I43"/>
      <c r="J43"/>
      <c r="K43"/>
      <c r="L43"/>
      <c r="M43"/>
      <c r="N43"/>
      <c r="O43"/>
      <c r="P43"/>
    </row>
    <row r="44" spans="2:17" x14ac:dyDescent="0.2"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</row>
    <row r="45" spans="2:17" x14ac:dyDescent="0.2">
      <c r="B45"/>
      <c r="C45" s="4"/>
      <c r="D45"/>
      <c r="E45"/>
      <c r="F45"/>
      <c r="G45"/>
      <c r="H45"/>
      <c r="I45"/>
      <c r="J45"/>
      <c r="K45"/>
      <c r="L45"/>
      <c r="M45"/>
      <c r="N45"/>
      <c r="O45"/>
      <c r="P45"/>
    </row>
    <row r="46" spans="2:17" x14ac:dyDescent="0.2"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</row>
    <row r="47" spans="2:17" x14ac:dyDescent="0.2"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</row>
    <row r="48" spans="2:17" x14ac:dyDescent="0.2"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</row>
    <row r="49" spans="2:16" x14ac:dyDescent="0.2"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</row>
    <row r="50" spans="2:16" x14ac:dyDescent="0.2"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</row>
    <row r="51" spans="2:16" x14ac:dyDescent="0.2"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</row>
    <row r="52" spans="2:16" x14ac:dyDescent="0.2"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</row>
    <row r="53" spans="2:16" x14ac:dyDescent="0.2"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</row>
    <row r="54" spans="2:16" x14ac:dyDescent="0.2"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</row>
    <row r="55" spans="2:16" x14ac:dyDescent="0.2"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</row>
    <row r="56" spans="2:16" x14ac:dyDescent="0.2"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</row>
    <row r="57" spans="2:16" x14ac:dyDescent="0.2"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</row>
    <row r="58" spans="2:16" x14ac:dyDescent="0.2"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</row>
    <row r="59" spans="2:16" x14ac:dyDescent="0.2"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2:16" x14ac:dyDescent="0.2"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2:16" x14ac:dyDescent="0.2"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2:16" x14ac:dyDescent="0.2"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2:16" x14ac:dyDescent="0.2"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2:16" x14ac:dyDescent="0.2"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2:16" x14ac:dyDescent="0.2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 spans="2:16" x14ac:dyDescent="0.2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2:16" x14ac:dyDescent="0.2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2:16" x14ac:dyDescent="0.2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2:16" x14ac:dyDescent="0.2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2:16" x14ac:dyDescent="0.2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2:16" x14ac:dyDescent="0.2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  <row r="72" spans="2:16" x14ac:dyDescent="0.2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</row>
    <row r="73" spans="2:16" x14ac:dyDescent="0.2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 spans="2:16" x14ac:dyDescent="0.2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</row>
    <row r="75" spans="2:16" x14ac:dyDescent="0.2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</row>
    <row r="76" spans="2:16" x14ac:dyDescent="0.2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</row>
    <row r="77" spans="2:16" x14ac:dyDescent="0.2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2:16" x14ac:dyDescent="0.2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</row>
    <row r="79" spans="2:16" x14ac:dyDescent="0.2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</row>
    <row r="80" spans="2:16" x14ac:dyDescent="0.2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</row>
    <row r="81" spans="2:16" x14ac:dyDescent="0.2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</row>
    <row r="82" spans="2:16" x14ac:dyDescent="0.2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</row>
    <row r="83" spans="2:16" x14ac:dyDescent="0.2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</row>
    <row r="84" spans="2:16" x14ac:dyDescent="0.2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</row>
    <row r="85" spans="2:16" x14ac:dyDescent="0.2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</row>
    <row r="86" spans="2:16" x14ac:dyDescent="0.2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</row>
    <row r="87" spans="2:16" x14ac:dyDescent="0.2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</row>
    <row r="88" spans="2:16" x14ac:dyDescent="0.2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2:16" x14ac:dyDescent="0.2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2:16" x14ac:dyDescent="0.2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</row>
    <row r="91" spans="2:16" x14ac:dyDescent="0.2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2:16" x14ac:dyDescent="0.2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2:16" x14ac:dyDescent="0.2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2:16" x14ac:dyDescent="0.2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2:16" x14ac:dyDescent="0.2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2:16" x14ac:dyDescent="0.2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2:16" x14ac:dyDescent="0.2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2:16" x14ac:dyDescent="0.2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2:16" x14ac:dyDescent="0.2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2:16" x14ac:dyDescent="0.2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2:16" x14ac:dyDescent="0.2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2:16" x14ac:dyDescent="0.2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2:16" x14ac:dyDescent="0.2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  <row r="104" spans="2:16" x14ac:dyDescent="0.2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</row>
    <row r="105" spans="2:16" x14ac:dyDescent="0.2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</row>
    <row r="106" spans="2:16" x14ac:dyDescent="0.2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</row>
    <row r="107" spans="2:16" x14ac:dyDescent="0.2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</row>
    <row r="108" spans="2:16" x14ac:dyDescent="0.2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</row>
    <row r="109" spans="2:16" x14ac:dyDescent="0.2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</row>
    <row r="110" spans="2:16" x14ac:dyDescent="0.2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</row>
    <row r="111" spans="2:16" x14ac:dyDescent="0.2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</row>
    <row r="112" spans="2:16" x14ac:dyDescent="0.2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</row>
    <row r="113" spans="2:16" x14ac:dyDescent="0.2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</row>
    <row r="114" spans="2:16" x14ac:dyDescent="0.2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</row>
    <row r="115" spans="2:16" x14ac:dyDescent="0.2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</row>
    <row r="116" spans="2:16" x14ac:dyDescent="0.2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</row>
    <row r="117" spans="2:16" x14ac:dyDescent="0.2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2:16" x14ac:dyDescent="0.2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2:16" x14ac:dyDescent="0.2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</row>
    <row r="120" spans="2:16" x14ac:dyDescent="0.2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</row>
    <row r="121" spans="2:16" x14ac:dyDescent="0.2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</row>
    <row r="122" spans="2:16" x14ac:dyDescent="0.2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</row>
    <row r="123" spans="2:16" x14ac:dyDescent="0.2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</row>
    <row r="124" spans="2:16" x14ac:dyDescent="0.2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</row>
    <row r="125" spans="2:16" x14ac:dyDescent="0.2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</row>
    <row r="126" spans="2:16" x14ac:dyDescent="0.2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</row>
    <row r="127" spans="2:16" x14ac:dyDescent="0.2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</row>
    <row r="128" spans="2:16" x14ac:dyDescent="0.2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</row>
    <row r="129" spans="2:16" x14ac:dyDescent="0.2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</row>
    <row r="130" spans="2:16" x14ac:dyDescent="0.2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2:16" x14ac:dyDescent="0.2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</row>
    <row r="132" spans="2:16" x14ac:dyDescent="0.2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</row>
    <row r="133" spans="2:16" x14ac:dyDescent="0.2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</row>
    <row r="134" spans="2:16" x14ac:dyDescent="0.2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</row>
    <row r="135" spans="2:16" x14ac:dyDescent="0.2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</row>
    <row r="136" spans="2:16" x14ac:dyDescent="0.2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</row>
    <row r="137" spans="2:16" x14ac:dyDescent="0.2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</row>
    <row r="138" spans="2:16" x14ac:dyDescent="0.2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</row>
    <row r="139" spans="2:16" x14ac:dyDescent="0.2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</row>
    <row r="140" spans="2:16" x14ac:dyDescent="0.2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</row>
    <row r="141" spans="2:16" x14ac:dyDescent="0.2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</row>
    <row r="142" spans="2:16" x14ac:dyDescent="0.2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</row>
    <row r="143" spans="2:16" x14ac:dyDescent="0.2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</row>
    <row r="144" spans="2:16" x14ac:dyDescent="0.2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</row>
    <row r="145" spans="2:16" x14ac:dyDescent="0.2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</row>
    <row r="146" spans="2:16" x14ac:dyDescent="0.2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</row>
    <row r="147" spans="2:16" x14ac:dyDescent="0.2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</row>
    <row r="148" spans="2:16" x14ac:dyDescent="0.2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</row>
    <row r="149" spans="2:16" x14ac:dyDescent="0.2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</row>
    <row r="150" spans="2:16" x14ac:dyDescent="0.2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</row>
    <row r="151" spans="2:16" x14ac:dyDescent="0.2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</row>
    <row r="152" spans="2:16" x14ac:dyDescent="0.2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</row>
    <row r="153" spans="2:16" x14ac:dyDescent="0.2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</row>
    <row r="154" spans="2:16" x14ac:dyDescent="0.2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</row>
    <row r="155" spans="2:16" x14ac:dyDescent="0.2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</row>
    <row r="156" spans="2:16" x14ac:dyDescent="0.2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</row>
    <row r="157" spans="2:16" x14ac:dyDescent="0.2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</row>
    <row r="158" spans="2:16" x14ac:dyDescent="0.2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</row>
    <row r="159" spans="2:16" x14ac:dyDescent="0.2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</row>
    <row r="160" spans="2:16" x14ac:dyDescent="0.2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</row>
    <row r="161" spans="2:16" x14ac:dyDescent="0.2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</row>
    <row r="162" spans="2:16" x14ac:dyDescent="0.2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2:16" x14ac:dyDescent="0.2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</row>
    <row r="164" spans="2:16" x14ac:dyDescent="0.2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</row>
    <row r="165" spans="2:16" x14ac:dyDescent="0.2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</row>
    <row r="166" spans="2:16" x14ac:dyDescent="0.2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</row>
    <row r="167" spans="2:16" x14ac:dyDescent="0.2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</row>
    <row r="168" spans="2:16" x14ac:dyDescent="0.2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</row>
    <row r="169" spans="2:16" x14ac:dyDescent="0.2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</row>
    <row r="170" spans="2:16" x14ac:dyDescent="0.2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</row>
    <row r="171" spans="2:16" x14ac:dyDescent="0.2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</row>
    <row r="172" spans="2:16" x14ac:dyDescent="0.2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</row>
    <row r="173" spans="2:16" x14ac:dyDescent="0.2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</row>
    <row r="174" spans="2:16" x14ac:dyDescent="0.2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</row>
    <row r="175" spans="2:16" x14ac:dyDescent="0.2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</row>
    <row r="176" spans="2:16" x14ac:dyDescent="0.2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</row>
    <row r="177" spans="2:16" x14ac:dyDescent="0.2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</row>
    <row r="178" spans="2:16" x14ac:dyDescent="0.2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</row>
    <row r="179" spans="2:16" x14ac:dyDescent="0.2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</row>
    <row r="180" spans="2:16" x14ac:dyDescent="0.2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</row>
    <row r="181" spans="2:16" x14ac:dyDescent="0.2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</row>
    <row r="182" spans="2:16" x14ac:dyDescent="0.2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</row>
    <row r="183" spans="2:16" x14ac:dyDescent="0.2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</row>
    <row r="184" spans="2:16" x14ac:dyDescent="0.2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</row>
    <row r="185" spans="2:16" x14ac:dyDescent="0.2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</row>
    <row r="186" spans="2:16" x14ac:dyDescent="0.2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</row>
    <row r="187" spans="2:16" x14ac:dyDescent="0.2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</row>
    <row r="188" spans="2:16" x14ac:dyDescent="0.2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</row>
    <row r="189" spans="2:16" x14ac:dyDescent="0.2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</row>
    <row r="190" spans="2:16" x14ac:dyDescent="0.2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</row>
    <row r="191" spans="2:16" x14ac:dyDescent="0.2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</row>
    <row r="192" spans="2:16" x14ac:dyDescent="0.2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</row>
    <row r="193" spans="2:16" x14ac:dyDescent="0.2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</row>
    <row r="194" spans="2:16" x14ac:dyDescent="0.2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</row>
    <row r="195" spans="2:16" x14ac:dyDescent="0.2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</row>
    <row r="196" spans="2:16" x14ac:dyDescent="0.2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</row>
    <row r="197" spans="2:16" x14ac:dyDescent="0.2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</row>
    <row r="198" spans="2:16" x14ac:dyDescent="0.2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</row>
    <row r="199" spans="2:16" x14ac:dyDescent="0.2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</row>
    <row r="200" spans="2:16" x14ac:dyDescent="0.2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</row>
    <row r="201" spans="2:16" x14ac:dyDescent="0.2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</row>
    <row r="202" spans="2:16" x14ac:dyDescent="0.2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</row>
    <row r="203" spans="2:16" x14ac:dyDescent="0.2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</row>
    <row r="204" spans="2:16" x14ac:dyDescent="0.2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</row>
    <row r="205" spans="2:16" x14ac:dyDescent="0.2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</row>
    <row r="206" spans="2:16" x14ac:dyDescent="0.2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</row>
    <row r="207" spans="2:16" x14ac:dyDescent="0.2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</row>
    <row r="208" spans="2:16" x14ac:dyDescent="0.2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</row>
    <row r="209" spans="2:16" x14ac:dyDescent="0.2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</row>
    <row r="210" spans="2:16" x14ac:dyDescent="0.2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</row>
    <row r="211" spans="2:16" x14ac:dyDescent="0.2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</row>
    <row r="212" spans="2:16" x14ac:dyDescent="0.2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</row>
    <row r="213" spans="2:16" x14ac:dyDescent="0.2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</row>
    <row r="214" spans="2:16" x14ac:dyDescent="0.2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</row>
    <row r="215" spans="2:16" x14ac:dyDescent="0.2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</row>
    <row r="216" spans="2:16" x14ac:dyDescent="0.2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</row>
    <row r="217" spans="2:16" x14ac:dyDescent="0.2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</row>
    <row r="218" spans="2:16" x14ac:dyDescent="0.2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</row>
    <row r="219" spans="2:16" x14ac:dyDescent="0.2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</row>
    <row r="220" spans="2:16" x14ac:dyDescent="0.2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</row>
    <row r="221" spans="2:16" x14ac:dyDescent="0.2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</row>
    <row r="222" spans="2:16" x14ac:dyDescent="0.2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</row>
    <row r="223" spans="2:16" x14ac:dyDescent="0.2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</row>
    <row r="224" spans="2:16" x14ac:dyDescent="0.2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</row>
    <row r="225" spans="2:16" x14ac:dyDescent="0.2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</row>
    <row r="226" spans="2:16" x14ac:dyDescent="0.2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</row>
    <row r="227" spans="2:16" x14ac:dyDescent="0.2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</row>
    <row r="228" spans="2:16" x14ac:dyDescent="0.2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</row>
    <row r="229" spans="2:16" x14ac:dyDescent="0.2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</row>
    <row r="230" spans="2:16" x14ac:dyDescent="0.2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</row>
    <row r="231" spans="2:16" x14ac:dyDescent="0.2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</row>
    <row r="232" spans="2:16" x14ac:dyDescent="0.2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</row>
    <row r="233" spans="2:16" x14ac:dyDescent="0.2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</row>
    <row r="234" spans="2:16" x14ac:dyDescent="0.2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</row>
    <row r="235" spans="2:16" x14ac:dyDescent="0.2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</row>
    <row r="236" spans="2:16" x14ac:dyDescent="0.2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</row>
    <row r="237" spans="2:16" x14ac:dyDescent="0.2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</row>
    <row r="238" spans="2:16" x14ac:dyDescent="0.2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</row>
    <row r="239" spans="2:16" x14ac:dyDescent="0.2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</row>
    <row r="240" spans="2:16" x14ac:dyDescent="0.2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</row>
    <row r="241" spans="2:16" x14ac:dyDescent="0.2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</row>
    <row r="242" spans="2:16" x14ac:dyDescent="0.2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</row>
    <row r="243" spans="2:16" x14ac:dyDescent="0.2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</row>
    <row r="244" spans="2:16" x14ac:dyDescent="0.2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</row>
    <row r="245" spans="2:16" x14ac:dyDescent="0.2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</row>
    <row r="246" spans="2:16" x14ac:dyDescent="0.2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</row>
    <row r="247" spans="2:16" x14ac:dyDescent="0.2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</row>
    <row r="248" spans="2:16" x14ac:dyDescent="0.2"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</row>
    <row r="249" spans="2:16" x14ac:dyDescent="0.2"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</row>
    <row r="250" spans="2:16" x14ac:dyDescent="0.2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</row>
    <row r="251" spans="2:16" x14ac:dyDescent="0.2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</row>
    <row r="252" spans="2:16" x14ac:dyDescent="0.2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</row>
    <row r="253" spans="2:16" x14ac:dyDescent="0.2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</row>
    <row r="254" spans="2:16" x14ac:dyDescent="0.2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</row>
    <row r="255" spans="2:16" x14ac:dyDescent="0.2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</row>
    <row r="256" spans="2:16" x14ac:dyDescent="0.2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</row>
    <row r="257" spans="2:16" x14ac:dyDescent="0.2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</row>
    <row r="258" spans="2:16" x14ac:dyDescent="0.2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</row>
    <row r="259" spans="2:16" x14ac:dyDescent="0.2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</row>
    <row r="260" spans="2:16" x14ac:dyDescent="0.2"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</row>
    <row r="261" spans="2:16" x14ac:dyDescent="0.2"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</row>
    <row r="262" spans="2:16" x14ac:dyDescent="0.2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</row>
    <row r="263" spans="2:16" x14ac:dyDescent="0.2"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</row>
    <row r="264" spans="2:16" x14ac:dyDescent="0.2"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</row>
    <row r="265" spans="2:16" x14ac:dyDescent="0.2"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</row>
    <row r="266" spans="2:16" x14ac:dyDescent="0.2"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</row>
    <row r="267" spans="2:16" x14ac:dyDescent="0.2"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</row>
    <row r="268" spans="2:16" x14ac:dyDescent="0.2"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</row>
    <row r="269" spans="2:16" x14ac:dyDescent="0.2"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</row>
    <row r="270" spans="2:16" x14ac:dyDescent="0.2"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</row>
    <row r="271" spans="2:16" x14ac:dyDescent="0.2"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</row>
    <row r="272" spans="2:16" x14ac:dyDescent="0.2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</row>
    <row r="273" spans="2:16" x14ac:dyDescent="0.2"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</row>
    <row r="274" spans="2:16" x14ac:dyDescent="0.2"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</row>
    <row r="275" spans="2:16" x14ac:dyDescent="0.2"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</row>
    <row r="276" spans="2:16" x14ac:dyDescent="0.2"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</row>
    <row r="277" spans="2:16" x14ac:dyDescent="0.2"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</row>
    <row r="278" spans="2:16" x14ac:dyDescent="0.2"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</row>
    <row r="279" spans="2:16" x14ac:dyDescent="0.2"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</row>
    <row r="280" spans="2:16" x14ac:dyDescent="0.2"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</row>
    <row r="281" spans="2:16" x14ac:dyDescent="0.2"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</row>
    <row r="282" spans="2:16" x14ac:dyDescent="0.2"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</row>
    <row r="283" spans="2:16" x14ac:dyDescent="0.2"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</row>
    <row r="284" spans="2:16" x14ac:dyDescent="0.2"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</row>
    <row r="285" spans="2:16" x14ac:dyDescent="0.2"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</row>
    <row r="286" spans="2:16" x14ac:dyDescent="0.2"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</row>
    <row r="287" spans="2:16" x14ac:dyDescent="0.2"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</row>
    <row r="288" spans="2:16" x14ac:dyDescent="0.2"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</row>
    <row r="289" spans="2:16" x14ac:dyDescent="0.2"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</row>
    <row r="290" spans="2:16" x14ac:dyDescent="0.2"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</row>
    <row r="291" spans="2:16" x14ac:dyDescent="0.2"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</row>
    <row r="292" spans="2:16" x14ac:dyDescent="0.2"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</row>
    <row r="293" spans="2:16" x14ac:dyDescent="0.2"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</row>
    <row r="294" spans="2:16" x14ac:dyDescent="0.2"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</row>
    <row r="295" spans="2:16" x14ac:dyDescent="0.2"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</row>
    <row r="296" spans="2:16" x14ac:dyDescent="0.2"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</row>
    <row r="297" spans="2:16" x14ac:dyDescent="0.2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</row>
    <row r="298" spans="2:16" x14ac:dyDescent="0.2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</row>
    <row r="299" spans="2:16" x14ac:dyDescent="0.2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</row>
    <row r="300" spans="2:16" x14ac:dyDescent="0.2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</row>
    <row r="301" spans="2:16" x14ac:dyDescent="0.2"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</row>
    <row r="302" spans="2:16" x14ac:dyDescent="0.2"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</row>
    <row r="303" spans="2:16" x14ac:dyDescent="0.2"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</row>
    <row r="304" spans="2:16" x14ac:dyDescent="0.2"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</row>
    <row r="305" spans="2:16" x14ac:dyDescent="0.2"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</row>
    <row r="306" spans="2:16" x14ac:dyDescent="0.2"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</row>
    <row r="307" spans="2:16" x14ac:dyDescent="0.2"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</row>
    <row r="308" spans="2:16" x14ac:dyDescent="0.2"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</row>
    <row r="309" spans="2:16" x14ac:dyDescent="0.2"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</row>
    <row r="310" spans="2:16" x14ac:dyDescent="0.2"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</row>
    <row r="311" spans="2:16" x14ac:dyDescent="0.2"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</row>
    <row r="312" spans="2:16" x14ac:dyDescent="0.2"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</row>
    <row r="313" spans="2:16" x14ac:dyDescent="0.2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</row>
    <row r="314" spans="2:16" x14ac:dyDescent="0.2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</row>
    <row r="315" spans="2:16" x14ac:dyDescent="0.2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</row>
    <row r="316" spans="2:16" x14ac:dyDescent="0.2"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</row>
    <row r="317" spans="2:16" x14ac:dyDescent="0.2"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</row>
    <row r="318" spans="2:16" x14ac:dyDescent="0.2"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</row>
    <row r="319" spans="2:16" x14ac:dyDescent="0.2"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</row>
    <row r="320" spans="2:16" x14ac:dyDescent="0.2"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</row>
    <row r="321" spans="2:16" x14ac:dyDescent="0.2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</row>
    <row r="322" spans="2:16" x14ac:dyDescent="0.2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</row>
    <row r="323" spans="2:16" x14ac:dyDescent="0.2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</row>
    <row r="324" spans="2:16" x14ac:dyDescent="0.2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</row>
    <row r="325" spans="2:16" x14ac:dyDescent="0.2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</row>
    <row r="326" spans="2:16" x14ac:dyDescent="0.2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</row>
    <row r="327" spans="2:16" x14ac:dyDescent="0.2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</row>
    <row r="328" spans="2:16" x14ac:dyDescent="0.2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</row>
    <row r="329" spans="2:16" x14ac:dyDescent="0.2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</row>
    <row r="330" spans="2:16" x14ac:dyDescent="0.2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</row>
    <row r="331" spans="2:16" x14ac:dyDescent="0.2"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</row>
    <row r="332" spans="2:16" x14ac:dyDescent="0.2"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</row>
    <row r="333" spans="2:16" x14ac:dyDescent="0.2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</row>
    <row r="334" spans="2:16" x14ac:dyDescent="0.2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</row>
    <row r="335" spans="2:16" x14ac:dyDescent="0.2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</row>
    <row r="336" spans="2:16" x14ac:dyDescent="0.2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</row>
    <row r="337" spans="2:16" x14ac:dyDescent="0.2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</row>
    <row r="338" spans="2:16" x14ac:dyDescent="0.2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</row>
    <row r="339" spans="2:16" x14ac:dyDescent="0.2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</row>
    <row r="340" spans="2:16" x14ac:dyDescent="0.2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</row>
    <row r="341" spans="2:16" x14ac:dyDescent="0.2"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</row>
    <row r="342" spans="2:16" x14ac:dyDescent="0.2"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</row>
    <row r="343" spans="2:16" x14ac:dyDescent="0.2"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</row>
    <row r="344" spans="2:16" x14ac:dyDescent="0.2"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</row>
    <row r="345" spans="2:16" x14ac:dyDescent="0.2"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</row>
    <row r="346" spans="2:16" x14ac:dyDescent="0.2"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</row>
    <row r="347" spans="2:16" x14ac:dyDescent="0.2"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</row>
    <row r="348" spans="2:16" x14ac:dyDescent="0.2"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</row>
    <row r="349" spans="2:16" x14ac:dyDescent="0.2"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</row>
    <row r="350" spans="2:16" x14ac:dyDescent="0.2"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</row>
    <row r="351" spans="2:16" x14ac:dyDescent="0.2"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</row>
    <row r="352" spans="2:16" x14ac:dyDescent="0.2"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</row>
    <row r="353" spans="2:16" x14ac:dyDescent="0.2"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</row>
    <row r="354" spans="2:16" x14ac:dyDescent="0.2"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</row>
    <row r="355" spans="2:16" x14ac:dyDescent="0.2"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</row>
    <row r="356" spans="2:16" x14ac:dyDescent="0.2"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</row>
    <row r="357" spans="2:16" x14ac:dyDescent="0.2"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</row>
    <row r="358" spans="2:16" x14ac:dyDescent="0.2"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</row>
    <row r="359" spans="2:16" x14ac:dyDescent="0.2"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</row>
    <row r="360" spans="2:16" x14ac:dyDescent="0.2"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</row>
    <row r="361" spans="2:16" x14ac:dyDescent="0.2"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</row>
    <row r="362" spans="2:16" x14ac:dyDescent="0.2"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</row>
    <row r="363" spans="2:16" x14ac:dyDescent="0.2"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</row>
    <row r="364" spans="2:16" x14ac:dyDescent="0.2"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</row>
    <row r="365" spans="2:16" x14ac:dyDescent="0.2"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</row>
    <row r="366" spans="2:16" x14ac:dyDescent="0.2"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</row>
    <row r="367" spans="2:16" x14ac:dyDescent="0.2"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</row>
    <row r="368" spans="2:16" x14ac:dyDescent="0.2"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</row>
    <row r="369" spans="2:16" x14ac:dyDescent="0.2"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</row>
    <row r="370" spans="2:16" x14ac:dyDescent="0.2"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</row>
    <row r="371" spans="2:16" x14ac:dyDescent="0.2"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</row>
    <row r="372" spans="2:16" x14ac:dyDescent="0.2"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</row>
    <row r="373" spans="2:16" x14ac:dyDescent="0.2"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</row>
    <row r="374" spans="2:16" x14ac:dyDescent="0.2"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</row>
    <row r="375" spans="2:16" x14ac:dyDescent="0.2"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</row>
    <row r="376" spans="2:16" x14ac:dyDescent="0.2"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</row>
    <row r="377" spans="2:16" x14ac:dyDescent="0.2"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</row>
    <row r="378" spans="2:16" x14ac:dyDescent="0.2"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</row>
    <row r="379" spans="2:16" x14ac:dyDescent="0.2"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</row>
    <row r="380" spans="2:16" x14ac:dyDescent="0.2"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</row>
    <row r="381" spans="2:16" x14ac:dyDescent="0.2"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</row>
    <row r="382" spans="2:16" x14ac:dyDescent="0.2"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</row>
    <row r="383" spans="2:16" x14ac:dyDescent="0.2"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</row>
    <row r="384" spans="2:16" x14ac:dyDescent="0.2"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</row>
    <row r="385" spans="2:16" x14ac:dyDescent="0.2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</row>
    <row r="386" spans="2:16" x14ac:dyDescent="0.2"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</row>
    <row r="387" spans="2:16" x14ac:dyDescent="0.2"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</row>
    <row r="388" spans="2:16" x14ac:dyDescent="0.2"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</row>
    <row r="389" spans="2:16" x14ac:dyDescent="0.2"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</row>
    <row r="390" spans="2:16" x14ac:dyDescent="0.2"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</row>
    <row r="391" spans="2:16" x14ac:dyDescent="0.2"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</row>
    <row r="392" spans="2:16" x14ac:dyDescent="0.2"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</row>
    <row r="393" spans="2:16" x14ac:dyDescent="0.2"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</row>
    <row r="394" spans="2:16" x14ac:dyDescent="0.2"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</row>
    <row r="395" spans="2:16" x14ac:dyDescent="0.2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</row>
    <row r="396" spans="2:16" x14ac:dyDescent="0.2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</row>
    <row r="397" spans="2:16" x14ac:dyDescent="0.2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</row>
    <row r="398" spans="2:16" x14ac:dyDescent="0.2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</row>
    <row r="399" spans="2:16" x14ac:dyDescent="0.2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</row>
    <row r="400" spans="2:16" x14ac:dyDescent="0.2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</row>
    <row r="401" spans="2:16" x14ac:dyDescent="0.2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</row>
    <row r="402" spans="2:16" x14ac:dyDescent="0.2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</row>
    <row r="403" spans="2:16" x14ac:dyDescent="0.2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</row>
    <row r="404" spans="2:16" x14ac:dyDescent="0.2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</row>
    <row r="405" spans="2:16" x14ac:dyDescent="0.2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</row>
    <row r="406" spans="2:16" x14ac:dyDescent="0.2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</row>
    <row r="407" spans="2:16" x14ac:dyDescent="0.2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</row>
    <row r="408" spans="2:16" x14ac:dyDescent="0.2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</row>
    <row r="409" spans="2:16" x14ac:dyDescent="0.2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</row>
    <row r="410" spans="2:16" x14ac:dyDescent="0.2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</row>
    <row r="411" spans="2:16" x14ac:dyDescent="0.2"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</row>
    <row r="412" spans="2:16" x14ac:dyDescent="0.2"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</row>
    <row r="413" spans="2:16" x14ac:dyDescent="0.2"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</row>
    <row r="414" spans="2:16" x14ac:dyDescent="0.2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</row>
    <row r="415" spans="2:16" x14ac:dyDescent="0.2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</row>
    <row r="416" spans="2:16" x14ac:dyDescent="0.2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</row>
    <row r="417" spans="2:16" x14ac:dyDescent="0.2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</row>
    <row r="418" spans="2:16" x14ac:dyDescent="0.2"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</row>
    <row r="419" spans="2:16" x14ac:dyDescent="0.2"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</row>
    <row r="420" spans="2:16" x14ac:dyDescent="0.2"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</row>
    <row r="421" spans="2:16" x14ac:dyDescent="0.2"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</row>
    <row r="422" spans="2:16" x14ac:dyDescent="0.2"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</row>
    <row r="423" spans="2:16" x14ac:dyDescent="0.2"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</row>
    <row r="424" spans="2:16" x14ac:dyDescent="0.2"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</row>
    <row r="425" spans="2:16" x14ac:dyDescent="0.2"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</row>
    <row r="426" spans="2:16" x14ac:dyDescent="0.2"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</row>
    <row r="427" spans="2:16" x14ac:dyDescent="0.2"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</row>
    <row r="428" spans="2:16" x14ac:dyDescent="0.2"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</row>
    <row r="429" spans="2:16" x14ac:dyDescent="0.2"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</row>
    <row r="430" spans="2:16" x14ac:dyDescent="0.2"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</row>
    <row r="431" spans="2:16" x14ac:dyDescent="0.2"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</row>
    <row r="432" spans="2:16" x14ac:dyDescent="0.2"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</row>
    <row r="433" spans="2:16" x14ac:dyDescent="0.2"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</row>
    <row r="434" spans="2:16" x14ac:dyDescent="0.2"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</row>
    <row r="435" spans="2:16" x14ac:dyDescent="0.2"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</row>
    <row r="436" spans="2:16" x14ac:dyDescent="0.2"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</row>
    <row r="437" spans="2:16" x14ac:dyDescent="0.2"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</row>
    <row r="438" spans="2:16" x14ac:dyDescent="0.2"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</row>
    <row r="439" spans="2:16" x14ac:dyDescent="0.2"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</row>
    <row r="440" spans="2:16" x14ac:dyDescent="0.2"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</row>
    <row r="441" spans="2:16" x14ac:dyDescent="0.2"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</row>
    <row r="442" spans="2:16" x14ac:dyDescent="0.2"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</row>
    <row r="443" spans="2:16" x14ac:dyDescent="0.2"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</row>
    <row r="444" spans="2:16" x14ac:dyDescent="0.2"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</row>
    <row r="445" spans="2:16" x14ac:dyDescent="0.2"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</row>
    <row r="446" spans="2:16" x14ac:dyDescent="0.2"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</row>
    <row r="447" spans="2:16" x14ac:dyDescent="0.2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</row>
    <row r="448" spans="2:16" x14ac:dyDescent="0.2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</row>
    <row r="449" spans="2:16" x14ac:dyDescent="0.2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</row>
    <row r="450" spans="2:16" x14ac:dyDescent="0.2"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</row>
    <row r="451" spans="2:16" x14ac:dyDescent="0.2"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</row>
    <row r="452" spans="2:16" x14ac:dyDescent="0.2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</row>
    <row r="453" spans="2:16" x14ac:dyDescent="0.2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</row>
    <row r="454" spans="2:16" x14ac:dyDescent="0.2"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</row>
    <row r="455" spans="2:16" x14ac:dyDescent="0.2"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</row>
    <row r="456" spans="2:16" x14ac:dyDescent="0.2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</row>
    <row r="457" spans="2:16" x14ac:dyDescent="0.2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</row>
    <row r="458" spans="2:16" x14ac:dyDescent="0.2"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</row>
    <row r="459" spans="2:16" x14ac:dyDescent="0.2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</row>
    <row r="460" spans="2:16" x14ac:dyDescent="0.2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</row>
    <row r="461" spans="2:16" x14ac:dyDescent="0.2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</row>
    <row r="462" spans="2:16" x14ac:dyDescent="0.2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</row>
    <row r="463" spans="2:16" x14ac:dyDescent="0.2"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</row>
    <row r="464" spans="2:16" x14ac:dyDescent="0.2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</row>
    <row r="465" spans="2:16" x14ac:dyDescent="0.2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</row>
    <row r="466" spans="2:16" x14ac:dyDescent="0.2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</row>
    <row r="467" spans="2:16" x14ac:dyDescent="0.2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</row>
    <row r="468" spans="2:16" x14ac:dyDescent="0.2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</row>
    <row r="469" spans="2:16" x14ac:dyDescent="0.2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</row>
    <row r="470" spans="2:16" x14ac:dyDescent="0.2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</row>
    <row r="471" spans="2:16" x14ac:dyDescent="0.2"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</row>
    <row r="472" spans="2:16" x14ac:dyDescent="0.2"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</row>
    <row r="473" spans="2:16" x14ac:dyDescent="0.2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</row>
    <row r="474" spans="2:16" x14ac:dyDescent="0.2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</row>
    <row r="475" spans="2:16" x14ac:dyDescent="0.2"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</row>
    <row r="476" spans="2:16" x14ac:dyDescent="0.2"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</row>
    <row r="477" spans="2:16" x14ac:dyDescent="0.2"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</row>
    <row r="478" spans="2:16" x14ac:dyDescent="0.2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</row>
    <row r="479" spans="2:16" x14ac:dyDescent="0.2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</row>
    <row r="480" spans="2:16" x14ac:dyDescent="0.2"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</row>
    <row r="481" spans="2:16" x14ac:dyDescent="0.2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</row>
    <row r="482" spans="2:16" x14ac:dyDescent="0.2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</row>
    <row r="483" spans="2:16" x14ac:dyDescent="0.2"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</row>
    <row r="484" spans="2:16" x14ac:dyDescent="0.2"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</row>
    <row r="485" spans="2:16" x14ac:dyDescent="0.2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</row>
    <row r="486" spans="2:16" x14ac:dyDescent="0.2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</row>
    <row r="487" spans="2:16" x14ac:dyDescent="0.2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</row>
    <row r="488" spans="2:16" x14ac:dyDescent="0.2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</row>
    <row r="489" spans="2:16" x14ac:dyDescent="0.2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</row>
    <row r="490" spans="2:16" x14ac:dyDescent="0.2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</row>
    <row r="491" spans="2:16" x14ac:dyDescent="0.2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</row>
    <row r="492" spans="2:16" x14ac:dyDescent="0.2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</row>
    <row r="493" spans="2:16" x14ac:dyDescent="0.2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</row>
    <row r="494" spans="2:16" x14ac:dyDescent="0.2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</row>
    <row r="495" spans="2:16" x14ac:dyDescent="0.2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</row>
    <row r="496" spans="2:16" x14ac:dyDescent="0.2"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</row>
    <row r="497" spans="2:16" x14ac:dyDescent="0.2"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</row>
    <row r="498" spans="2:16" x14ac:dyDescent="0.2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</row>
    <row r="499" spans="2:16" x14ac:dyDescent="0.2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</row>
    <row r="500" spans="2:16" x14ac:dyDescent="0.2"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</row>
    <row r="501" spans="2:16" x14ac:dyDescent="0.2"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</row>
    <row r="502" spans="2:16" x14ac:dyDescent="0.2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</row>
    <row r="503" spans="2:16" x14ac:dyDescent="0.2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</row>
    <row r="504" spans="2:16" x14ac:dyDescent="0.2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</row>
    <row r="505" spans="2:16" x14ac:dyDescent="0.2"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</row>
    <row r="506" spans="2:16" x14ac:dyDescent="0.2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</row>
    <row r="507" spans="2:16" x14ac:dyDescent="0.2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</row>
    <row r="508" spans="2:16" x14ac:dyDescent="0.2"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</row>
    <row r="509" spans="2:16" x14ac:dyDescent="0.2"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</row>
    <row r="510" spans="2:16" x14ac:dyDescent="0.2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</row>
    <row r="511" spans="2:16" x14ac:dyDescent="0.2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</row>
    <row r="512" spans="2:16" x14ac:dyDescent="0.2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</row>
    <row r="513" spans="2:16" x14ac:dyDescent="0.2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</row>
    <row r="514" spans="2:16" x14ac:dyDescent="0.2"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</row>
    <row r="515" spans="2:16" x14ac:dyDescent="0.2"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</row>
    <row r="516" spans="2:16" x14ac:dyDescent="0.2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</row>
    <row r="517" spans="2:16" x14ac:dyDescent="0.2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</row>
    <row r="518" spans="2:16" x14ac:dyDescent="0.2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</row>
    <row r="519" spans="2:16" x14ac:dyDescent="0.2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</row>
    <row r="520" spans="2:16" x14ac:dyDescent="0.2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</row>
    <row r="521" spans="2:16" x14ac:dyDescent="0.2"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</row>
    <row r="522" spans="2:16" x14ac:dyDescent="0.2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</row>
    <row r="523" spans="2:16" x14ac:dyDescent="0.2"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</row>
    <row r="524" spans="2:16" x14ac:dyDescent="0.2"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</row>
    <row r="525" spans="2:16" x14ac:dyDescent="0.2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</row>
    <row r="526" spans="2:16" x14ac:dyDescent="0.2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</row>
    <row r="527" spans="2:16" x14ac:dyDescent="0.2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</row>
    <row r="528" spans="2:16" x14ac:dyDescent="0.2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</row>
    <row r="529" spans="2:16" x14ac:dyDescent="0.2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</row>
    <row r="530" spans="2:16" x14ac:dyDescent="0.2"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</row>
    <row r="531" spans="2:16" x14ac:dyDescent="0.2"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</row>
    <row r="532" spans="2:16" x14ac:dyDescent="0.2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</row>
    <row r="533" spans="2:16" x14ac:dyDescent="0.2"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</row>
    <row r="534" spans="2:16" x14ac:dyDescent="0.2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</row>
    <row r="535" spans="2:16" x14ac:dyDescent="0.2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</row>
    <row r="536" spans="2:16" x14ac:dyDescent="0.2"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</row>
    <row r="537" spans="2:16" x14ac:dyDescent="0.2"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</row>
    <row r="538" spans="2:16" x14ac:dyDescent="0.2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</row>
    <row r="539" spans="2:16" x14ac:dyDescent="0.2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</row>
    <row r="540" spans="2:16" x14ac:dyDescent="0.2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</row>
    <row r="541" spans="2:16" x14ac:dyDescent="0.2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</row>
    <row r="542" spans="2:16" x14ac:dyDescent="0.2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</row>
    <row r="543" spans="2:16" x14ac:dyDescent="0.2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</row>
    <row r="544" spans="2:16" x14ac:dyDescent="0.2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</row>
    <row r="545" spans="2:16" x14ac:dyDescent="0.2"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</row>
    <row r="546" spans="2:16" x14ac:dyDescent="0.2"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</row>
    <row r="547" spans="2:16" x14ac:dyDescent="0.2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</row>
    <row r="548" spans="2:16" x14ac:dyDescent="0.2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</row>
    <row r="549" spans="2:16" x14ac:dyDescent="0.2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</row>
    <row r="550" spans="2:16" x14ac:dyDescent="0.2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</row>
    <row r="551" spans="2:16" x14ac:dyDescent="0.2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</row>
    <row r="552" spans="2:16" x14ac:dyDescent="0.2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</row>
    <row r="553" spans="2:16" x14ac:dyDescent="0.2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</row>
    <row r="554" spans="2:16" x14ac:dyDescent="0.2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</row>
    <row r="555" spans="2:16" x14ac:dyDescent="0.2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</row>
    <row r="556" spans="2:16" x14ac:dyDescent="0.2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</row>
    <row r="557" spans="2:16" x14ac:dyDescent="0.2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</row>
    <row r="558" spans="2:16" x14ac:dyDescent="0.2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</row>
    <row r="559" spans="2:16" x14ac:dyDescent="0.2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</row>
    <row r="560" spans="2:16" x14ac:dyDescent="0.2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</row>
    <row r="561" spans="2:16" x14ac:dyDescent="0.2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</row>
    <row r="562" spans="2:16" x14ac:dyDescent="0.2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</row>
    <row r="563" spans="2:16" x14ac:dyDescent="0.2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</row>
    <row r="564" spans="2:16" x14ac:dyDescent="0.2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</row>
    <row r="565" spans="2:16" x14ac:dyDescent="0.2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</row>
    <row r="566" spans="2:16" x14ac:dyDescent="0.2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</row>
    <row r="567" spans="2:16" x14ac:dyDescent="0.2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</row>
    <row r="568" spans="2:16" x14ac:dyDescent="0.2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</row>
    <row r="569" spans="2:16" x14ac:dyDescent="0.2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</row>
    <row r="570" spans="2:16" x14ac:dyDescent="0.2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</row>
    <row r="571" spans="2:16" x14ac:dyDescent="0.2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</row>
    <row r="572" spans="2:16" x14ac:dyDescent="0.2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</row>
    <row r="573" spans="2:16" x14ac:dyDescent="0.2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</row>
    <row r="574" spans="2:16" x14ac:dyDescent="0.2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</row>
    <row r="575" spans="2:16" x14ac:dyDescent="0.2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</row>
    <row r="576" spans="2:16" x14ac:dyDescent="0.2"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</row>
    <row r="577" spans="2:16" x14ac:dyDescent="0.2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</row>
    <row r="578" spans="2:16" x14ac:dyDescent="0.2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</row>
    <row r="579" spans="2:16" x14ac:dyDescent="0.2"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</row>
    <row r="580" spans="2:16" x14ac:dyDescent="0.2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</row>
    <row r="581" spans="2:16" x14ac:dyDescent="0.2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</row>
    <row r="582" spans="2:16" x14ac:dyDescent="0.2"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</row>
    <row r="583" spans="2:16" x14ac:dyDescent="0.2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</row>
    <row r="584" spans="2:16" x14ac:dyDescent="0.2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</row>
    <row r="585" spans="2:16" x14ac:dyDescent="0.2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</row>
    <row r="586" spans="2:16" x14ac:dyDescent="0.2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</row>
    <row r="587" spans="2:16" x14ac:dyDescent="0.2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</row>
    <row r="588" spans="2:16" x14ac:dyDescent="0.2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</row>
    <row r="589" spans="2:16" x14ac:dyDescent="0.2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</row>
    <row r="590" spans="2:16" x14ac:dyDescent="0.2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</row>
    <row r="591" spans="2:16" x14ac:dyDescent="0.2"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</row>
    <row r="592" spans="2:16" x14ac:dyDescent="0.2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</row>
    <row r="593" spans="2:16" x14ac:dyDescent="0.2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</row>
    <row r="594" spans="2:16" x14ac:dyDescent="0.2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</row>
    <row r="595" spans="2:16" x14ac:dyDescent="0.2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</row>
    <row r="596" spans="2:16" x14ac:dyDescent="0.2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</row>
    <row r="597" spans="2:16" x14ac:dyDescent="0.2"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</row>
    <row r="598" spans="2:16" x14ac:dyDescent="0.2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</row>
    <row r="599" spans="2:16" x14ac:dyDescent="0.2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</row>
    <row r="600" spans="2:16" x14ac:dyDescent="0.2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</row>
    <row r="601" spans="2:16" x14ac:dyDescent="0.2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</row>
    <row r="602" spans="2:16" x14ac:dyDescent="0.2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</row>
    <row r="603" spans="2:16" x14ac:dyDescent="0.2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</row>
    <row r="604" spans="2:16" x14ac:dyDescent="0.2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</row>
    <row r="605" spans="2:16" x14ac:dyDescent="0.2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</row>
    <row r="606" spans="2:16" x14ac:dyDescent="0.2"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</row>
    <row r="607" spans="2:16" x14ac:dyDescent="0.2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</row>
    <row r="608" spans="2:16" x14ac:dyDescent="0.2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</row>
    <row r="609" spans="2:16" x14ac:dyDescent="0.2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</row>
    <row r="610" spans="2:16" x14ac:dyDescent="0.2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</row>
    <row r="611" spans="2:16" x14ac:dyDescent="0.2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</row>
    <row r="612" spans="2:16" x14ac:dyDescent="0.2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</row>
    <row r="613" spans="2:16" x14ac:dyDescent="0.2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</row>
    <row r="614" spans="2:16" x14ac:dyDescent="0.2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</row>
    <row r="615" spans="2:16" x14ac:dyDescent="0.2"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</row>
    <row r="616" spans="2:16" x14ac:dyDescent="0.2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</row>
    <row r="617" spans="2:16" x14ac:dyDescent="0.2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</row>
    <row r="618" spans="2:16" x14ac:dyDescent="0.2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</row>
    <row r="619" spans="2:16" x14ac:dyDescent="0.2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</row>
    <row r="620" spans="2:16" x14ac:dyDescent="0.2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</row>
    <row r="621" spans="2:16" x14ac:dyDescent="0.2"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</row>
    <row r="622" spans="2:16" x14ac:dyDescent="0.2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</row>
    <row r="623" spans="2:16" x14ac:dyDescent="0.2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</row>
    <row r="624" spans="2:16" x14ac:dyDescent="0.2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</row>
    <row r="625" spans="2:16" x14ac:dyDescent="0.2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</row>
    <row r="626" spans="2:16" x14ac:dyDescent="0.2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</row>
    <row r="627" spans="2:16" x14ac:dyDescent="0.2"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</row>
    <row r="628" spans="2:16" x14ac:dyDescent="0.2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</row>
    <row r="629" spans="2:16" x14ac:dyDescent="0.2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</row>
    <row r="630" spans="2:16" x14ac:dyDescent="0.2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</row>
    <row r="631" spans="2:16" x14ac:dyDescent="0.2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</row>
    <row r="632" spans="2:16" x14ac:dyDescent="0.2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</row>
    <row r="633" spans="2:16" x14ac:dyDescent="0.2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</row>
    <row r="634" spans="2:16" x14ac:dyDescent="0.2"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</row>
    <row r="635" spans="2:16" x14ac:dyDescent="0.2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</row>
    <row r="636" spans="2:16" x14ac:dyDescent="0.2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</row>
    <row r="637" spans="2:16" x14ac:dyDescent="0.2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</row>
    <row r="638" spans="2:16" x14ac:dyDescent="0.2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</row>
    <row r="639" spans="2:16" x14ac:dyDescent="0.2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</row>
    <row r="640" spans="2:16" x14ac:dyDescent="0.2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</row>
    <row r="641" spans="2:16" x14ac:dyDescent="0.2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</row>
    <row r="642" spans="2:16" x14ac:dyDescent="0.2"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</row>
    <row r="643" spans="2:16" x14ac:dyDescent="0.2"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</row>
    <row r="644" spans="2:16" x14ac:dyDescent="0.2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</row>
    <row r="645" spans="2:16" x14ac:dyDescent="0.2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</row>
    <row r="646" spans="2:16" x14ac:dyDescent="0.2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</row>
    <row r="647" spans="2:16" x14ac:dyDescent="0.2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</row>
    <row r="648" spans="2:16" x14ac:dyDescent="0.2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</row>
    <row r="649" spans="2:16" x14ac:dyDescent="0.2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</row>
    <row r="650" spans="2:16" x14ac:dyDescent="0.2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</row>
    <row r="651" spans="2:16" x14ac:dyDescent="0.2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</row>
    <row r="652" spans="2:16" x14ac:dyDescent="0.2"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</row>
    <row r="653" spans="2:16" x14ac:dyDescent="0.2"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</row>
    <row r="654" spans="2:16" x14ac:dyDescent="0.2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</row>
    <row r="655" spans="2:16" x14ac:dyDescent="0.2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</row>
    <row r="656" spans="2:16" x14ac:dyDescent="0.2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</row>
    <row r="657" spans="2:16" x14ac:dyDescent="0.2"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</row>
    <row r="658" spans="2:16" x14ac:dyDescent="0.2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</row>
    <row r="659" spans="2:16" x14ac:dyDescent="0.2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</row>
    <row r="660" spans="2:16" x14ac:dyDescent="0.2"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</row>
    <row r="661" spans="2:16" x14ac:dyDescent="0.2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</row>
    <row r="662" spans="2:16" x14ac:dyDescent="0.2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</row>
    <row r="663" spans="2:16" x14ac:dyDescent="0.2"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</row>
    <row r="664" spans="2:16" x14ac:dyDescent="0.2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</row>
    <row r="665" spans="2:16" x14ac:dyDescent="0.2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</row>
    <row r="666" spans="2:16" x14ac:dyDescent="0.2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</row>
    <row r="667" spans="2:16" x14ac:dyDescent="0.2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</row>
    <row r="668" spans="2:16" x14ac:dyDescent="0.2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</row>
    <row r="669" spans="2:16" x14ac:dyDescent="0.2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</row>
    <row r="670" spans="2:16" x14ac:dyDescent="0.2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</row>
    <row r="671" spans="2:16" x14ac:dyDescent="0.2"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</row>
    <row r="672" spans="2:16" x14ac:dyDescent="0.2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</row>
    <row r="673" spans="2:16" x14ac:dyDescent="0.2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</row>
    <row r="674" spans="2:16" x14ac:dyDescent="0.2"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</row>
    <row r="675" spans="2:16" x14ac:dyDescent="0.2"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</row>
    <row r="676" spans="2:16" x14ac:dyDescent="0.2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</row>
    <row r="677" spans="2:16" x14ac:dyDescent="0.2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</row>
    <row r="678" spans="2:16" x14ac:dyDescent="0.2"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</row>
    <row r="679" spans="2:16" x14ac:dyDescent="0.2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</row>
    <row r="680" spans="2:16" x14ac:dyDescent="0.2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</row>
    <row r="681" spans="2:16" x14ac:dyDescent="0.2"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</row>
    <row r="682" spans="2:16" x14ac:dyDescent="0.2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</row>
    <row r="683" spans="2:16" x14ac:dyDescent="0.2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</row>
    <row r="684" spans="2:16" x14ac:dyDescent="0.2"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</row>
    <row r="685" spans="2:16" x14ac:dyDescent="0.2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</row>
    <row r="686" spans="2:16" x14ac:dyDescent="0.2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</row>
    <row r="687" spans="2:16" x14ac:dyDescent="0.2"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</row>
    <row r="688" spans="2:16" x14ac:dyDescent="0.2"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</row>
    <row r="689" spans="2:16" x14ac:dyDescent="0.2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</row>
    <row r="690" spans="2:16" x14ac:dyDescent="0.2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</row>
    <row r="691" spans="2:16" x14ac:dyDescent="0.2"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</row>
    <row r="692" spans="2:16" x14ac:dyDescent="0.2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</row>
    <row r="693" spans="2:16" x14ac:dyDescent="0.2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</row>
    <row r="694" spans="2:16" x14ac:dyDescent="0.2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</row>
    <row r="695" spans="2:16" x14ac:dyDescent="0.2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</row>
    <row r="696" spans="2:16" x14ac:dyDescent="0.2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</row>
    <row r="697" spans="2:16" x14ac:dyDescent="0.2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</row>
    <row r="698" spans="2:16" x14ac:dyDescent="0.2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</row>
    <row r="699" spans="2:16" x14ac:dyDescent="0.2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</row>
    <row r="700" spans="2:16" x14ac:dyDescent="0.2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</row>
    <row r="701" spans="2:16" x14ac:dyDescent="0.2"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</row>
    <row r="702" spans="2:16" x14ac:dyDescent="0.2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</row>
    <row r="703" spans="2:16" x14ac:dyDescent="0.2"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</row>
    <row r="704" spans="2:16" x14ac:dyDescent="0.2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</row>
    <row r="705" spans="2:16" x14ac:dyDescent="0.2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</row>
    <row r="706" spans="2:16" x14ac:dyDescent="0.2"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</row>
    <row r="707" spans="2:16" x14ac:dyDescent="0.2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</row>
    <row r="708" spans="2:16" x14ac:dyDescent="0.2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</row>
    <row r="709" spans="2:16" x14ac:dyDescent="0.2"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</row>
    <row r="710" spans="2:16" x14ac:dyDescent="0.2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</row>
    <row r="711" spans="2:16" x14ac:dyDescent="0.2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</row>
    <row r="712" spans="2:16" x14ac:dyDescent="0.2"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</row>
    <row r="713" spans="2:16" x14ac:dyDescent="0.2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</row>
    <row r="714" spans="2:16" x14ac:dyDescent="0.2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</row>
    <row r="715" spans="2:16" x14ac:dyDescent="0.2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</row>
    <row r="716" spans="2:16" x14ac:dyDescent="0.2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</row>
    <row r="717" spans="2:16" x14ac:dyDescent="0.2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</row>
    <row r="718" spans="2:16" x14ac:dyDescent="0.2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</row>
    <row r="719" spans="2:16" x14ac:dyDescent="0.2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</row>
    <row r="720" spans="2:16" x14ac:dyDescent="0.2"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</row>
    <row r="721" spans="2:16" x14ac:dyDescent="0.2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</row>
    <row r="722" spans="2:16" x14ac:dyDescent="0.2"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</row>
    <row r="723" spans="2:16" x14ac:dyDescent="0.2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</row>
    <row r="724" spans="2:16" x14ac:dyDescent="0.2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</row>
    <row r="725" spans="2:16" x14ac:dyDescent="0.2"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</row>
    <row r="726" spans="2:16" x14ac:dyDescent="0.2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</row>
    <row r="727" spans="2:16" x14ac:dyDescent="0.2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</row>
    <row r="728" spans="2:16" x14ac:dyDescent="0.2"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</row>
    <row r="729" spans="2:16" x14ac:dyDescent="0.2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</row>
    <row r="730" spans="2:16" x14ac:dyDescent="0.2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</row>
    <row r="731" spans="2:16" x14ac:dyDescent="0.2"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</row>
    <row r="732" spans="2:16" x14ac:dyDescent="0.2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</row>
    <row r="733" spans="2:16" x14ac:dyDescent="0.2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</row>
    <row r="734" spans="2:16" x14ac:dyDescent="0.2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</row>
    <row r="735" spans="2:16" x14ac:dyDescent="0.2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</row>
    <row r="736" spans="2:16" x14ac:dyDescent="0.2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</row>
    <row r="737" spans="2:16" x14ac:dyDescent="0.2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</row>
    <row r="738" spans="2:16" x14ac:dyDescent="0.2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</row>
    <row r="739" spans="2:16" x14ac:dyDescent="0.2"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</row>
    <row r="740" spans="2:16" x14ac:dyDescent="0.2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</row>
    <row r="741" spans="2:16" x14ac:dyDescent="0.2"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</row>
    <row r="742" spans="2:16" x14ac:dyDescent="0.2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</row>
    <row r="743" spans="2:16" x14ac:dyDescent="0.2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</row>
    <row r="744" spans="2:16" x14ac:dyDescent="0.2"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</row>
    <row r="745" spans="2:16" x14ac:dyDescent="0.2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</row>
    <row r="746" spans="2:16" x14ac:dyDescent="0.2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</row>
    <row r="747" spans="2:16" x14ac:dyDescent="0.2"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</row>
    <row r="748" spans="2:16" x14ac:dyDescent="0.2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</row>
    <row r="749" spans="2:16" x14ac:dyDescent="0.2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</row>
    <row r="750" spans="2:16" x14ac:dyDescent="0.2"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</row>
    <row r="751" spans="2:16" x14ac:dyDescent="0.2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</row>
    <row r="752" spans="2:16" x14ac:dyDescent="0.2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</row>
    <row r="753" spans="2:16" x14ac:dyDescent="0.2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</row>
    <row r="754" spans="2:16" x14ac:dyDescent="0.2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</row>
    <row r="755" spans="2:16" x14ac:dyDescent="0.2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</row>
    <row r="756" spans="2:16" x14ac:dyDescent="0.2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</row>
    <row r="757" spans="2:16" x14ac:dyDescent="0.2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</row>
    <row r="758" spans="2:16" x14ac:dyDescent="0.2"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</row>
    <row r="759" spans="2:16" x14ac:dyDescent="0.2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</row>
    <row r="760" spans="2:16" x14ac:dyDescent="0.2"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</row>
    <row r="761" spans="2:16" x14ac:dyDescent="0.2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</row>
    <row r="762" spans="2:16" x14ac:dyDescent="0.2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</row>
    <row r="763" spans="2:16" x14ac:dyDescent="0.2"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</row>
    <row r="764" spans="2:16" x14ac:dyDescent="0.2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</row>
    <row r="765" spans="2:16" x14ac:dyDescent="0.2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</row>
    <row r="766" spans="2:16" x14ac:dyDescent="0.2"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</row>
    <row r="767" spans="2:16" x14ac:dyDescent="0.2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</row>
    <row r="768" spans="2:16" x14ac:dyDescent="0.2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</row>
    <row r="769" spans="2:16" x14ac:dyDescent="0.2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</row>
    <row r="770" spans="2:16" x14ac:dyDescent="0.2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</row>
    <row r="771" spans="2:16" x14ac:dyDescent="0.2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</row>
    <row r="772" spans="2:16" x14ac:dyDescent="0.2"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</row>
    <row r="773" spans="2:16" x14ac:dyDescent="0.2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</row>
    <row r="774" spans="2:16" x14ac:dyDescent="0.2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</row>
    <row r="775" spans="2:16" x14ac:dyDescent="0.2"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</row>
    <row r="776" spans="2:16" x14ac:dyDescent="0.2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</row>
    <row r="777" spans="2:16" x14ac:dyDescent="0.2"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</row>
    <row r="778" spans="2:16" x14ac:dyDescent="0.2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</row>
    <row r="779" spans="2:16" x14ac:dyDescent="0.2"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</row>
    <row r="780" spans="2:16" x14ac:dyDescent="0.2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</row>
    <row r="781" spans="2:16" x14ac:dyDescent="0.2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</row>
    <row r="782" spans="2:16" x14ac:dyDescent="0.2"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</row>
    <row r="783" spans="2:16" x14ac:dyDescent="0.2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</row>
    <row r="784" spans="2:16" x14ac:dyDescent="0.2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</row>
    <row r="785" spans="2:16" x14ac:dyDescent="0.2"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</row>
    <row r="786" spans="2:16" x14ac:dyDescent="0.2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</row>
    <row r="787" spans="2:16" x14ac:dyDescent="0.2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</row>
    <row r="788" spans="2:16" x14ac:dyDescent="0.2"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</row>
    <row r="789" spans="2:16" x14ac:dyDescent="0.2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</row>
    <row r="790" spans="2:16" x14ac:dyDescent="0.2"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</row>
    <row r="791" spans="2:16" x14ac:dyDescent="0.2"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</row>
    <row r="792" spans="2:16" x14ac:dyDescent="0.2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</row>
    <row r="793" spans="2:16" x14ac:dyDescent="0.2"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</row>
    <row r="794" spans="2:16" x14ac:dyDescent="0.2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</row>
    <row r="795" spans="2:16" x14ac:dyDescent="0.2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</row>
    <row r="796" spans="2:16" x14ac:dyDescent="0.2"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</row>
    <row r="797" spans="2:16" x14ac:dyDescent="0.2"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</row>
    <row r="798" spans="2:16" x14ac:dyDescent="0.2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</row>
    <row r="799" spans="2:16" x14ac:dyDescent="0.2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</row>
    <row r="800" spans="2:16" x14ac:dyDescent="0.2"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</row>
    <row r="801" spans="2:16" x14ac:dyDescent="0.2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</row>
    <row r="802" spans="2:16" x14ac:dyDescent="0.2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</row>
    <row r="803" spans="2:16" x14ac:dyDescent="0.2"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</row>
    <row r="804" spans="2:16" x14ac:dyDescent="0.2"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</row>
    <row r="805" spans="2:16" x14ac:dyDescent="0.2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</row>
    <row r="806" spans="2:16" x14ac:dyDescent="0.2"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</row>
    <row r="807" spans="2:16" x14ac:dyDescent="0.2"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</row>
    <row r="808" spans="2:16" x14ac:dyDescent="0.2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</row>
    <row r="809" spans="2:16" x14ac:dyDescent="0.2"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</row>
    <row r="810" spans="2:16" x14ac:dyDescent="0.2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</row>
    <row r="811" spans="2:16" x14ac:dyDescent="0.2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</row>
    <row r="812" spans="2:16" x14ac:dyDescent="0.2"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</row>
    <row r="813" spans="2:16" x14ac:dyDescent="0.2"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</row>
    <row r="814" spans="2:16" x14ac:dyDescent="0.2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</row>
    <row r="815" spans="2:16" x14ac:dyDescent="0.2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</row>
    <row r="816" spans="2:16" x14ac:dyDescent="0.2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</row>
    <row r="817" spans="2:16" x14ac:dyDescent="0.2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</row>
    <row r="818" spans="2:16" x14ac:dyDescent="0.2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</row>
    <row r="819" spans="2:16" x14ac:dyDescent="0.2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</row>
    <row r="820" spans="2:16" x14ac:dyDescent="0.2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</row>
    <row r="821" spans="2:16" x14ac:dyDescent="0.2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</row>
    <row r="822" spans="2:16" x14ac:dyDescent="0.2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</row>
    <row r="823" spans="2:16" x14ac:dyDescent="0.2"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</row>
    <row r="824" spans="2:16" x14ac:dyDescent="0.2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</row>
    <row r="825" spans="2:16" x14ac:dyDescent="0.2"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</row>
    <row r="826" spans="2:16" x14ac:dyDescent="0.2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</row>
    <row r="827" spans="2:16" x14ac:dyDescent="0.2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</row>
    <row r="828" spans="2:16" x14ac:dyDescent="0.2"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</row>
    <row r="829" spans="2:16" x14ac:dyDescent="0.2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</row>
    <row r="830" spans="2:16" x14ac:dyDescent="0.2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</row>
    <row r="831" spans="2:16" x14ac:dyDescent="0.2"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</row>
    <row r="832" spans="2:16" x14ac:dyDescent="0.2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</row>
    <row r="833" spans="2:16" x14ac:dyDescent="0.2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</row>
    <row r="834" spans="2:16" x14ac:dyDescent="0.2"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</row>
    <row r="835" spans="2:16" x14ac:dyDescent="0.2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</row>
    <row r="836" spans="2:16" x14ac:dyDescent="0.2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</row>
    <row r="837" spans="2:16" x14ac:dyDescent="0.2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</row>
    <row r="838" spans="2:16" x14ac:dyDescent="0.2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</row>
    <row r="839" spans="2:16" x14ac:dyDescent="0.2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</row>
    <row r="840" spans="2:16" x14ac:dyDescent="0.2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</row>
    <row r="841" spans="2:16" x14ac:dyDescent="0.2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</row>
    <row r="842" spans="2:16" x14ac:dyDescent="0.2"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</row>
    <row r="843" spans="2:16" x14ac:dyDescent="0.2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</row>
    <row r="844" spans="2:16" x14ac:dyDescent="0.2"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</row>
    <row r="845" spans="2:16" x14ac:dyDescent="0.2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</row>
    <row r="846" spans="2:16" x14ac:dyDescent="0.2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</row>
    <row r="847" spans="2:16" x14ac:dyDescent="0.2"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</row>
    <row r="848" spans="2:16" x14ac:dyDescent="0.2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</row>
    <row r="849" spans="2:16" x14ac:dyDescent="0.2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</row>
    <row r="850" spans="2:16" x14ac:dyDescent="0.2"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</row>
    <row r="851" spans="2:16" x14ac:dyDescent="0.2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</row>
    <row r="852" spans="2:16" x14ac:dyDescent="0.2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</row>
    <row r="853" spans="2:16" x14ac:dyDescent="0.2"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</row>
    <row r="854" spans="2:16" x14ac:dyDescent="0.2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</row>
    <row r="855" spans="2:16" x14ac:dyDescent="0.2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</row>
    <row r="856" spans="2:16" x14ac:dyDescent="0.2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</row>
    <row r="857" spans="2:16" x14ac:dyDescent="0.2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</row>
    <row r="858" spans="2:16" x14ac:dyDescent="0.2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</row>
    <row r="859" spans="2:16" x14ac:dyDescent="0.2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</row>
    <row r="860" spans="2:16" x14ac:dyDescent="0.2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</row>
    <row r="861" spans="2:16" x14ac:dyDescent="0.2"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</row>
    <row r="862" spans="2:16" x14ac:dyDescent="0.2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</row>
    <row r="863" spans="2:16" x14ac:dyDescent="0.2"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</row>
    <row r="864" spans="2:16" x14ac:dyDescent="0.2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</row>
    <row r="865" spans="2:16" x14ac:dyDescent="0.2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</row>
    <row r="866" spans="2:16" x14ac:dyDescent="0.2"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</row>
    <row r="867" spans="2:16" x14ac:dyDescent="0.2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</row>
    <row r="868" spans="2:16" x14ac:dyDescent="0.2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</row>
    <row r="869" spans="2:16" x14ac:dyDescent="0.2"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</row>
    <row r="870" spans="2:16" x14ac:dyDescent="0.2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</row>
    <row r="871" spans="2:16" x14ac:dyDescent="0.2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</row>
    <row r="872" spans="2:16" x14ac:dyDescent="0.2"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</row>
    <row r="873" spans="2:16" x14ac:dyDescent="0.2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</row>
    <row r="874" spans="2:16" x14ac:dyDescent="0.2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</row>
    <row r="875" spans="2:16" x14ac:dyDescent="0.2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</row>
    <row r="876" spans="2:16" x14ac:dyDescent="0.2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</row>
    <row r="877" spans="2:16" x14ac:dyDescent="0.2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</row>
    <row r="878" spans="2:16" x14ac:dyDescent="0.2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</row>
    <row r="879" spans="2:16" x14ac:dyDescent="0.2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</row>
    <row r="880" spans="2:16" x14ac:dyDescent="0.2"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</row>
    <row r="881" spans="2:16" x14ac:dyDescent="0.2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</row>
    <row r="882" spans="2:16" x14ac:dyDescent="0.2"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</row>
    <row r="883" spans="2:16" x14ac:dyDescent="0.2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</row>
    <row r="884" spans="2:16" x14ac:dyDescent="0.2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</row>
    <row r="885" spans="2:16" x14ac:dyDescent="0.2"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</row>
    <row r="886" spans="2:16" x14ac:dyDescent="0.2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</row>
    <row r="887" spans="2:16" x14ac:dyDescent="0.2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</row>
    <row r="888" spans="2:16" x14ac:dyDescent="0.2"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</row>
    <row r="889" spans="2:16" x14ac:dyDescent="0.2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</row>
    <row r="890" spans="2:16" x14ac:dyDescent="0.2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</row>
    <row r="891" spans="2:16" x14ac:dyDescent="0.2"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</row>
    <row r="892" spans="2:16" x14ac:dyDescent="0.2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</row>
    <row r="893" spans="2:16" x14ac:dyDescent="0.2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</row>
    <row r="894" spans="2:16" x14ac:dyDescent="0.2"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</row>
    <row r="895" spans="2:16" x14ac:dyDescent="0.2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</row>
    <row r="896" spans="2:16" x14ac:dyDescent="0.2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</row>
    <row r="897" spans="2:16" x14ac:dyDescent="0.2"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</row>
    <row r="898" spans="2:16" x14ac:dyDescent="0.2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</row>
    <row r="899" spans="2:16" x14ac:dyDescent="0.2"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</row>
    <row r="900" spans="2:16" x14ac:dyDescent="0.2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</row>
    <row r="901" spans="2:16" x14ac:dyDescent="0.2"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</row>
    <row r="902" spans="2:16" x14ac:dyDescent="0.2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</row>
    <row r="903" spans="2:16" x14ac:dyDescent="0.2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</row>
    <row r="904" spans="2:16" x14ac:dyDescent="0.2"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</row>
    <row r="905" spans="2:16" x14ac:dyDescent="0.2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</row>
    <row r="906" spans="2:16" x14ac:dyDescent="0.2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</row>
    <row r="907" spans="2:16" x14ac:dyDescent="0.2"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</row>
    <row r="908" spans="2:16" x14ac:dyDescent="0.2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</row>
    <row r="909" spans="2:16" x14ac:dyDescent="0.2"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</row>
    <row r="910" spans="2:16" x14ac:dyDescent="0.2"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</row>
    <row r="911" spans="2:16" x14ac:dyDescent="0.2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</row>
    <row r="912" spans="2:16" x14ac:dyDescent="0.2"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</row>
    <row r="913" spans="2:16" x14ac:dyDescent="0.2"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</row>
    <row r="914" spans="2:16" x14ac:dyDescent="0.2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</row>
    <row r="915" spans="2:16" x14ac:dyDescent="0.2"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</row>
    <row r="916" spans="2:16" x14ac:dyDescent="0.2"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</row>
    <row r="917" spans="2:16" x14ac:dyDescent="0.2"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</row>
    <row r="918" spans="2:16" x14ac:dyDescent="0.2"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</row>
    <row r="919" spans="2:16" x14ac:dyDescent="0.2"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</row>
    <row r="920" spans="2:16" x14ac:dyDescent="0.2"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</row>
    <row r="921" spans="2:16" x14ac:dyDescent="0.2"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</row>
    <row r="922" spans="2:16" x14ac:dyDescent="0.2"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</row>
    <row r="923" spans="2:16" x14ac:dyDescent="0.2"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</row>
    <row r="924" spans="2:16" x14ac:dyDescent="0.2"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</row>
    <row r="925" spans="2:16" x14ac:dyDescent="0.2"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</row>
    <row r="926" spans="2:16" x14ac:dyDescent="0.2"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</row>
    <row r="927" spans="2:16" x14ac:dyDescent="0.2"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</row>
    <row r="928" spans="2:16" x14ac:dyDescent="0.2"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</row>
    <row r="929" spans="2:16" x14ac:dyDescent="0.2"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</row>
    <row r="930" spans="2:16" x14ac:dyDescent="0.2"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</row>
    <row r="931" spans="2:16" x14ac:dyDescent="0.2"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</row>
    <row r="932" spans="2:16" x14ac:dyDescent="0.2"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</row>
    <row r="933" spans="2:16" x14ac:dyDescent="0.2"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</row>
    <row r="934" spans="2:16" x14ac:dyDescent="0.2"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</row>
    <row r="935" spans="2:16" x14ac:dyDescent="0.2"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</row>
    <row r="936" spans="2:16" x14ac:dyDescent="0.2"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</row>
    <row r="937" spans="2:16" x14ac:dyDescent="0.2"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</row>
    <row r="938" spans="2:16" x14ac:dyDescent="0.2"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</row>
    <row r="939" spans="2:16" x14ac:dyDescent="0.2"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</row>
    <row r="940" spans="2:16" x14ac:dyDescent="0.2"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</row>
    <row r="941" spans="2:16" x14ac:dyDescent="0.2"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</row>
    <row r="942" spans="2:16" x14ac:dyDescent="0.2"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</row>
    <row r="943" spans="2:16" x14ac:dyDescent="0.2"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</row>
    <row r="944" spans="2:16" x14ac:dyDescent="0.2"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</row>
    <row r="945" spans="2:16" x14ac:dyDescent="0.2"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</row>
    <row r="946" spans="2:16" x14ac:dyDescent="0.2"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</row>
    <row r="947" spans="2:16" x14ac:dyDescent="0.2"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</row>
    <row r="948" spans="2:16" x14ac:dyDescent="0.2"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</row>
    <row r="949" spans="2:16" x14ac:dyDescent="0.2"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</row>
    <row r="950" spans="2:16" x14ac:dyDescent="0.2"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</row>
    <row r="951" spans="2:16" x14ac:dyDescent="0.2"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</row>
    <row r="952" spans="2:16" x14ac:dyDescent="0.2"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</row>
    <row r="953" spans="2:16" x14ac:dyDescent="0.2"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</row>
    <row r="954" spans="2:16" x14ac:dyDescent="0.2"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</row>
    <row r="955" spans="2:16" x14ac:dyDescent="0.2"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</row>
    <row r="956" spans="2:16" x14ac:dyDescent="0.2"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</row>
    <row r="957" spans="2:16" x14ac:dyDescent="0.2"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</row>
    <row r="958" spans="2:16" x14ac:dyDescent="0.2"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</row>
    <row r="959" spans="2:16" x14ac:dyDescent="0.2"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</row>
    <row r="960" spans="2:16" x14ac:dyDescent="0.2"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</row>
    <row r="961" spans="2:16" x14ac:dyDescent="0.2"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</row>
    <row r="962" spans="2:16" x14ac:dyDescent="0.2"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</row>
    <row r="963" spans="2:16" x14ac:dyDescent="0.2"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</row>
    <row r="964" spans="2:16" x14ac:dyDescent="0.2"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</row>
    <row r="965" spans="2:16" x14ac:dyDescent="0.2"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</row>
    <row r="966" spans="2:16" x14ac:dyDescent="0.2"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</row>
    <row r="967" spans="2:16" x14ac:dyDescent="0.2"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</row>
    <row r="968" spans="2:16" x14ac:dyDescent="0.2"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</row>
    <row r="969" spans="2:16" x14ac:dyDescent="0.2"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</row>
    <row r="970" spans="2:16" x14ac:dyDescent="0.2"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</row>
    <row r="971" spans="2:16" x14ac:dyDescent="0.2"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</row>
    <row r="972" spans="2:16" x14ac:dyDescent="0.2"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</row>
    <row r="973" spans="2:16" x14ac:dyDescent="0.2"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</row>
    <row r="974" spans="2:16" x14ac:dyDescent="0.2"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</row>
    <row r="975" spans="2:16" x14ac:dyDescent="0.2"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</row>
    <row r="976" spans="2:16" x14ac:dyDescent="0.2"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</row>
    <row r="977" spans="2:16" x14ac:dyDescent="0.2"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</row>
    <row r="978" spans="2:16" x14ac:dyDescent="0.2"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</row>
    <row r="979" spans="2:16" x14ac:dyDescent="0.2"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</row>
    <row r="980" spans="2:16" x14ac:dyDescent="0.2"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</row>
    <row r="981" spans="2:16" x14ac:dyDescent="0.2"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</row>
    <row r="982" spans="2:16" x14ac:dyDescent="0.2"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</row>
    <row r="983" spans="2:16" x14ac:dyDescent="0.2"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</row>
    <row r="984" spans="2:16" x14ac:dyDescent="0.2"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</row>
    <row r="985" spans="2:16" x14ac:dyDescent="0.2"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</row>
    <row r="986" spans="2:16" x14ac:dyDescent="0.2"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</row>
    <row r="987" spans="2:16" x14ac:dyDescent="0.2"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</row>
    <row r="988" spans="2:16" x14ac:dyDescent="0.2"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</row>
    <row r="989" spans="2:16" x14ac:dyDescent="0.2"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</row>
    <row r="990" spans="2:16" x14ac:dyDescent="0.2"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</row>
    <row r="991" spans="2:16" x14ac:dyDescent="0.2"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</row>
    <row r="992" spans="2:16" x14ac:dyDescent="0.2"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</row>
    <row r="993" spans="2:16" x14ac:dyDescent="0.2"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</row>
    <row r="994" spans="2:16" x14ac:dyDescent="0.2"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</row>
    <row r="995" spans="2:16" x14ac:dyDescent="0.2"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</row>
    <row r="996" spans="2:16" x14ac:dyDescent="0.2"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</row>
    <row r="997" spans="2:16" x14ac:dyDescent="0.2"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</row>
    <row r="998" spans="2:16" x14ac:dyDescent="0.2"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</row>
    <row r="999" spans="2:16" x14ac:dyDescent="0.2"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</row>
    <row r="1000" spans="2:16" x14ac:dyDescent="0.2"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</row>
    <row r="1001" spans="2:16" x14ac:dyDescent="0.2"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</row>
    <row r="1002" spans="2:16" x14ac:dyDescent="0.2"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</row>
    <row r="1003" spans="2:16" x14ac:dyDescent="0.2"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</row>
    <row r="1004" spans="2:16" x14ac:dyDescent="0.2"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</row>
    <row r="1005" spans="2:16" x14ac:dyDescent="0.2"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</row>
    <row r="1006" spans="2:16" x14ac:dyDescent="0.2"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</row>
    <row r="1007" spans="2:16" x14ac:dyDescent="0.2"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</row>
    <row r="1008" spans="2:16" x14ac:dyDescent="0.2"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</row>
    <row r="1009" spans="2:16" x14ac:dyDescent="0.2"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</row>
    <row r="1010" spans="2:16" x14ac:dyDescent="0.2"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</row>
    <row r="1011" spans="2:16" x14ac:dyDescent="0.2"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</row>
    <row r="1012" spans="2:16" x14ac:dyDescent="0.2"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</row>
    <row r="1013" spans="2:16" x14ac:dyDescent="0.2"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</row>
    <row r="1014" spans="2:16" x14ac:dyDescent="0.2"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</row>
    <row r="1015" spans="2:16" x14ac:dyDescent="0.2"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</row>
    <row r="1016" spans="2:16" x14ac:dyDescent="0.2"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</row>
    <row r="1017" spans="2:16" x14ac:dyDescent="0.2"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</row>
    <row r="1018" spans="2:16" x14ac:dyDescent="0.2"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</row>
    <row r="1019" spans="2:16" x14ac:dyDescent="0.2"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</row>
    <row r="1020" spans="2:16" x14ac:dyDescent="0.2"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</row>
    <row r="1021" spans="2:16" x14ac:dyDescent="0.2"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</row>
    <row r="1022" spans="2:16" x14ac:dyDescent="0.2"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</row>
    <row r="1023" spans="2:16" x14ac:dyDescent="0.2"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</row>
    <row r="1024" spans="2:16" x14ac:dyDescent="0.2"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</row>
    <row r="1025" spans="2:16" x14ac:dyDescent="0.2"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</row>
    <row r="1026" spans="2:16" x14ac:dyDescent="0.2"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</row>
    <row r="1027" spans="2:16" x14ac:dyDescent="0.2"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</row>
    <row r="1028" spans="2:16" x14ac:dyDescent="0.2"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</row>
    <row r="1029" spans="2:16" x14ac:dyDescent="0.2"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</row>
    <row r="1030" spans="2:16" x14ac:dyDescent="0.2"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</row>
    <row r="1031" spans="2:16" x14ac:dyDescent="0.2"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</row>
    <row r="1032" spans="2:16" x14ac:dyDescent="0.2"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</row>
    <row r="1033" spans="2:16" x14ac:dyDescent="0.2"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</row>
    <row r="1034" spans="2:16" x14ac:dyDescent="0.2"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</row>
    <row r="1035" spans="2:16" x14ac:dyDescent="0.2"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</row>
    <row r="1036" spans="2:16" x14ac:dyDescent="0.2"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</row>
    <row r="1037" spans="2:16" x14ac:dyDescent="0.2"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</row>
    <row r="1038" spans="2:16" x14ac:dyDescent="0.2"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</row>
    <row r="1039" spans="2:16" x14ac:dyDescent="0.2"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</row>
    <row r="1040" spans="2:16" x14ac:dyDescent="0.2"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</row>
    <row r="1041" spans="2:16" x14ac:dyDescent="0.2"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</row>
    <row r="1042" spans="2:16" x14ac:dyDescent="0.2"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</row>
    <row r="1043" spans="2:16" x14ac:dyDescent="0.2"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</row>
    <row r="1044" spans="2:16" x14ac:dyDescent="0.2"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</row>
    <row r="1045" spans="2:16" x14ac:dyDescent="0.2"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</row>
    <row r="1046" spans="2:16" x14ac:dyDescent="0.2"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</row>
    <row r="1047" spans="2:16" x14ac:dyDescent="0.2"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</row>
    <row r="1048" spans="2:16" x14ac:dyDescent="0.2"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</row>
    <row r="1049" spans="2:16" x14ac:dyDescent="0.2"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</row>
    <row r="1050" spans="2:16" x14ac:dyDescent="0.2"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</row>
    <row r="1051" spans="2:16" x14ac:dyDescent="0.2"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</row>
    <row r="1052" spans="2:16" x14ac:dyDescent="0.2"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</row>
    <row r="1053" spans="2:16" x14ac:dyDescent="0.2"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</row>
    <row r="1054" spans="2:16" x14ac:dyDescent="0.2"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</row>
    <row r="1055" spans="2:16" x14ac:dyDescent="0.2"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</row>
    <row r="1056" spans="2:16" x14ac:dyDescent="0.2"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</row>
    <row r="1057" spans="2:16" x14ac:dyDescent="0.2"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</row>
    <row r="1058" spans="2:16" x14ac:dyDescent="0.2"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</row>
    <row r="1059" spans="2:16" x14ac:dyDescent="0.2"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</row>
    <row r="1060" spans="2:16" x14ac:dyDescent="0.2"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</row>
    <row r="1061" spans="2:16" x14ac:dyDescent="0.2"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</row>
    <row r="1062" spans="2:16" x14ac:dyDescent="0.2"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</row>
    <row r="1063" spans="2:16" x14ac:dyDescent="0.2"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</row>
    <row r="1064" spans="2:16" x14ac:dyDescent="0.2"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</row>
    <row r="1065" spans="2:16" x14ac:dyDescent="0.2"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</row>
    <row r="1066" spans="2:16" x14ac:dyDescent="0.2"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</row>
    <row r="1067" spans="2:16" x14ac:dyDescent="0.2"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</row>
    <row r="1068" spans="2:16" x14ac:dyDescent="0.2"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</row>
    <row r="1069" spans="2:16" x14ac:dyDescent="0.2"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</row>
    <row r="1070" spans="2:16" x14ac:dyDescent="0.2"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</row>
    <row r="1071" spans="2:16" x14ac:dyDescent="0.2"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</row>
    <row r="1072" spans="2:16" x14ac:dyDescent="0.2"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</row>
    <row r="1073" spans="2:15" x14ac:dyDescent="0.2"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</row>
    <row r="1074" spans="2:15" x14ac:dyDescent="0.2"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</row>
    <row r="1075" spans="2:15" x14ac:dyDescent="0.2"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</row>
    <row r="1076" spans="2:15" x14ac:dyDescent="0.2"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</row>
    <row r="1077" spans="2:15" x14ac:dyDescent="0.2"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</row>
    <row r="1078" spans="2:15" x14ac:dyDescent="0.2"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</row>
    <row r="1079" spans="2:15" x14ac:dyDescent="0.2"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</row>
    <row r="1080" spans="2:15" x14ac:dyDescent="0.2"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</row>
    <row r="1081" spans="2:15" x14ac:dyDescent="0.2"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</row>
    <row r="1082" spans="2:15" x14ac:dyDescent="0.2"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</row>
    <row r="1083" spans="2:15" x14ac:dyDescent="0.2"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</row>
    <row r="1084" spans="2:15" x14ac:dyDescent="0.2"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</row>
    <row r="1085" spans="2:15" x14ac:dyDescent="0.2"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</row>
    <row r="1086" spans="2:15" x14ac:dyDescent="0.2"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</row>
    <row r="1087" spans="2:15" x14ac:dyDescent="0.2"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</row>
    <row r="1088" spans="2:15" x14ac:dyDescent="0.2"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</row>
    <row r="1089" spans="2:15" x14ac:dyDescent="0.2"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</row>
    <row r="1090" spans="2:15" x14ac:dyDescent="0.2"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</row>
    <row r="1091" spans="2:15" x14ac:dyDescent="0.2"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</row>
    <row r="1092" spans="2:15" x14ac:dyDescent="0.2"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</row>
    <row r="1093" spans="2:15" x14ac:dyDescent="0.2"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</row>
    <row r="1094" spans="2:15" x14ac:dyDescent="0.2"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</row>
    <row r="1095" spans="2:15" x14ac:dyDescent="0.2"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</row>
    <row r="1096" spans="2:15" x14ac:dyDescent="0.2"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</row>
    <row r="1097" spans="2:15" x14ac:dyDescent="0.2"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</row>
    <row r="1098" spans="2:15" x14ac:dyDescent="0.2"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</row>
    <row r="1099" spans="2:15" x14ac:dyDescent="0.2"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</row>
    <row r="1100" spans="2:15" x14ac:dyDescent="0.2"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</row>
    <row r="1101" spans="2:15" x14ac:dyDescent="0.2"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</row>
    <row r="1102" spans="2:15" x14ac:dyDescent="0.2"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</row>
    <row r="1103" spans="2:15" x14ac:dyDescent="0.2"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</row>
    <row r="1104" spans="2:15" x14ac:dyDescent="0.2"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</row>
    <row r="1105" spans="2:15" x14ac:dyDescent="0.2"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</row>
    <row r="1106" spans="2:15" x14ac:dyDescent="0.2"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</row>
    <row r="1107" spans="2:15" x14ac:dyDescent="0.2"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</row>
    <row r="1108" spans="2:15" x14ac:dyDescent="0.2"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</row>
    <row r="1109" spans="2:15" x14ac:dyDescent="0.2"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</row>
    <row r="1110" spans="2:15" x14ac:dyDescent="0.2"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</row>
    <row r="1111" spans="2:15" x14ac:dyDescent="0.2"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</row>
    <row r="1112" spans="2:15" x14ac:dyDescent="0.2"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</row>
    <row r="1113" spans="2:15" x14ac:dyDescent="0.2"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</row>
    <row r="1114" spans="2:15" x14ac:dyDescent="0.2"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</row>
    <row r="1115" spans="2:15" x14ac:dyDescent="0.2"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</row>
    <row r="1116" spans="2:15" x14ac:dyDescent="0.2"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</row>
    <row r="1117" spans="2:15" x14ac:dyDescent="0.2"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</row>
    <row r="1118" spans="2:15" x14ac:dyDescent="0.2"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</row>
    <row r="1119" spans="2:15" x14ac:dyDescent="0.2"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</row>
    <row r="1120" spans="2:15" x14ac:dyDescent="0.2"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</row>
    <row r="1121" spans="2:15" x14ac:dyDescent="0.2"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</row>
    <row r="1122" spans="2:15" x14ac:dyDescent="0.2"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</row>
    <row r="1123" spans="2:15" x14ac:dyDescent="0.2"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</row>
    <row r="1124" spans="2:15" x14ac:dyDescent="0.2"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</row>
    <row r="1125" spans="2:15" x14ac:dyDescent="0.2"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</row>
    <row r="1126" spans="2:15" x14ac:dyDescent="0.2"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</row>
    <row r="1127" spans="2:15" x14ac:dyDescent="0.2"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</row>
    <row r="1128" spans="2:15" x14ac:dyDescent="0.2"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</row>
    <row r="1129" spans="2:15" x14ac:dyDescent="0.2"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</row>
    <row r="1130" spans="2:15" x14ac:dyDescent="0.2"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</row>
    <row r="1131" spans="2:15" x14ac:dyDescent="0.2"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</row>
    <row r="1132" spans="2:15" x14ac:dyDescent="0.2"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</row>
    <row r="1133" spans="2:15" x14ac:dyDescent="0.2"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</row>
    <row r="1134" spans="2:15" x14ac:dyDescent="0.2"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</row>
    <row r="1135" spans="2:15" x14ac:dyDescent="0.2"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</row>
    <row r="1136" spans="2:15" x14ac:dyDescent="0.2"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</row>
    <row r="1137" spans="2:15" x14ac:dyDescent="0.2"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</row>
    <row r="1138" spans="2:15" x14ac:dyDescent="0.2"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</row>
    <row r="1139" spans="2:15" x14ac:dyDescent="0.2"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</row>
    <row r="1140" spans="2:15" x14ac:dyDescent="0.2"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</row>
    <row r="1141" spans="2:15" x14ac:dyDescent="0.2"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</row>
    <row r="1142" spans="2:15" x14ac:dyDescent="0.2"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</row>
    <row r="1143" spans="2:15" x14ac:dyDescent="0.2"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</row>
    <row r="1144" spans="2:15" x14ac:dyDescent="0.2"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</row>
    <row r="1145" spans="2:15" x14ac:dyDescent="0.2"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</row>
    <row r="1146" spans="2:15" x14ac:dyDescent="0.2"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</row>
    <row r="1147" spans="2:15" x14ac:dyDescent="0.2"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</row>
    <row r="1148" spans="2:15" x14ac:dyDescent="0.2"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</row>
    <row r="1149" spans="2:15" x14ac:dyDescent="0.2"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</row>
    <row r="1150" spans="2:15" x14ac:dyDescent="0.2"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</row>
    <row r="1151" spans="2:15" x14ac:dyDescent="0.2"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</row>
    <row r="1152" spans="2:15" x14ac:dyDescent="0.2"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</row>
    <row r="1153" spans="2:15" x14ac:dyDescent="0.2"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</row>
    <row r="1154" spans="2:15" x14ac:dyDescent="0.2"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</row>
    <row r="1155" spans="2:15" x14ac:dyDescent="0.2"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</row>
    <row r="1156" spans="2:15" x14ac:dyDescent="0.2"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</row>
    <row r="1157" spans="2:15" x14ac:dyDescent="0.2"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</row>
    <row r="1158" spans="2:15" x14ac:dyDescent="0.2"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</row>
    <row r="1159" spans="2:15" x14ac:dyDescent="0.2"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</row>
    <row r="1160" spans="2:15" x14ac:dyDescent="0.2"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</row>
    <row r="1161" spans="2:15" x14ac:dyDescent="0.2"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</row>
    <row r="1162" spans="2:15" x14ac:dyDescent="0.2"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</row>
    <row r="1163" spans="2:15" x14ac:dyDescent="0.2"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</row>
    <row r="1164" spans="2:15" x14ac:dyDescent="0.2"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</row>
    <row r="1165" spans="2:15" x14ac:dyDescent="0.2"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</row>
    <row r="1166" spans="2:15" x14ac:dyDescent="0.2"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</row>
    <row r="1167" spans="2:15" x14ac:dyDescent="0.2"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</row>
    <row r="1168" spans="2:15" x14ac:dyDescent="0.2"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</row>
    <row r="1169" spans="2:15" x14ac:dyDescent="0.2"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</row>
    <row r="1170" spans="2:15" x14ac:dyDescent="0.2"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</row>
    <row r="1171" spans="2:15" x14ac:dyDescent="0.2"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</row>
    <row r="1172" spans="2:15" x14ac:dyDescent="0.2"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</row>
    <row r="1173" spans="2:15" x14ac:dyDescent="0.2"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</row>
    <row r="1174" spans="2:15" x14ac:dyDescent="0.2"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</row>
    <row r="1175" spans="2:15" x14ac:dyDescent="0.2"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</row>
    <row r="1176" spans="2:15" x14ac:dyDescent="0.2"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</row>
    <row r="1177" spans="2:15" x14ac:dyDescent="0.2"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</row>
    <row r="1178" spans="2:15" x14ac:dyDescent="0.2"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</row>
    <row r="1179" spans="2:15" x14ac:dyDescent="0.2"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</row>
    <row r="1180" spans="2:15" x14ac:dyDescent="0.2"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</row>
    <row r="1181" spans="2:15" x14ac:dyDescent="0.2"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</row>
    <row r="1182" spans="2:15" x14ac:dyDescent="0.2"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</row>
    <row r="1183" spans="2:15" x14ac:dyDescent="0.2"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</row>
    <row r="1184" spans="2:15" x14ac:dyDescent="0.2"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</row>
    <row r="1185" spans="2:15" x14ac:dyDescent="0.2"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</row>
    <row r="1186" spans="2:15" x14ac:dyDescent="0.2"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</row>
    <row r="1187" spans="2:15" x14ac:dyDescent="0.2"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</row>
    <row r="1188" spans="2:15" x14ac:dyDescent="0.2"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</row>
    <row r="1189" spans="2:15" x14ac:dyDescent="0.2"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</row>
    <row r="1190" spans="2:15" x14ac:dyDescent="0.2"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</row>
    <row r="1191" spans="2:15" x14ac:dyDescent="0.2"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</row>
    <row r="1192" spans="2:15" x14ac:dyDescent="0.2"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</row>
    <row r="1193" spans="2:15" x14ac:dyDescent="0.2"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</row>
    <row r="1194" spans="2:15" x14ac:dyDescent="0.2"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</row>
    <row r="1195" spans="2:15" x14ac:dyDescent="0.2"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</row>
    <row r="1196" spans="2:15" x14ac:dyDescent="0.2"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</row>
    <row r="1197" spans="2:15" x14ac:dyDescent="0.2"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</row>
    <row r="1198" spans="2:15" x14ac:dyDescent="0.2"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</row>
    <row r="1199" spans="2:15" x14ac:dyDescent="0.2"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</row>
    <row r="1200" spans="2:15" x14ac:dyDescent="0.2"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</row>
    <row r="1201" spans="2:15" x14ac:dyDescent="0.2"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</row>
    <row r="1202" spans="2:15" x14ac:dyDescent="0.2"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</row>
    <row r="1203" spans="2:15" x14ac:dyDescent="0.2"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</row>
    <row r="1204" spans="2:15" x14ac:dyDescent="0.2"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</row>
    <row r="1205" spans="2:15" x14ac:dyDescent="0.2"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</row>
    <row r="1206" spans="2:15" x14ac:dyDescent="0.2"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</row>
    <row r="1207" spans="2:15" x14ac:dyDescent="0.2"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</row>
    <row r="1208" spans="2:15" x14ac:dyDescent="0.2"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</row>
    <row r="1209" spans="2:15" x14ac:dyDescent="0.2"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</row>
    <row r="1210" spans="2:15" x14ac:dyDescent="0.2"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</row>
    <row r="1211" spans="2:15" x14ac:dyDescent="0.2"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</row>
    <row r="1212" spans="2:15" x14ac:dyDescent="0.2"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</row>
    <row r="1213" spans="2:15" x14ac:dyDescent="0.2"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</row>
    <row r="1214" spans="2:15" x14ac:dyDescent="0.2"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</row>
    <row r="1215" spans="2:15" x14ac:dyDescent="0.2"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</row>
    <row r="1216" spans="2:15" x14ac:dyDescent="0.2"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</row>
    <row r="1217" spans="2:15" x14ac:dyDescent="0.2"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</row>
    <row r="1218" spans="2:15" x14ac:dyDescent="0.2"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</row>
    <row r="1219" spans="2:15" x14ac:dyDescent="0.2"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</row>
    <row r="1220" spans="2:15" x14ac:dyDescent="0.2"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</row>
    <row r="1221" spans="2:15" x14ac:dyDescent="0.2"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</row>
    <row r="1222" spans="2:15" x14ac:dyDescent="0.2"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</row>
    <row r="1223" spans="2:15" x14ac:dyDescent="0.2"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</row>
    <row r="1224" spans="2:15" x14ac:dyDescent="0.2"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</row>
    <row r="1225" spans="2:15" x14ac:dyDescent="0.2"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</row>
    <row r="1226" spans="2:15" x14ac:dyDescent="0.2"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</row>
    <row r="1227" spans="2:15" x14ac:dyDescent="0.2"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</row>
    <row r="1228" spans="2:15" x14ac:dyDescent="0.2"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</row>
    <row r="1229" spans="2:15" x14ac:dyDescent="0.2"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</row>
    <row r="1230" spans="2:15" x14ac:dyDescent="0.2"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</row>
    <row r="1231" spans="2:15" x14ac:dyDescent="0.2"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</row>
    <row r="1232" spans="2:15" x14ac:dyDescent="0.2"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</row>
    <row r="1233" spans="2:15" x14ac:dyDescent="0.2"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</row>
    <row r="1234" spans="2:15" x14ac:dyDescent="0.2"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</row>
    <row r="1235" spans="2:15" x14ac:dyDescent="0.2"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</row>
    <row r="1236" spans="2:15" x14ac:dyDescent="0.2"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</row>
    <row r="1237" spans="2:15" x14ac:dyDescent="0.2"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</row>
    <row r="1238" spans="2:15" x14ac:dyDescent="0.2"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</row>
    <row r="1239" spans="2:15" x14ac:dyDescent="0.2"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</row>
    <row r="1240" spans="2:15" x14ac:dyDescent="0.2"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</row>
    <row r="1241" spans="2:15" x14ac:dyDescent="0.2"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</row>
    <row r="1242" spans="2:15" x14ac:dyDescent="0.2"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</row>
    <row r="1243" spans="2:15" x14ac:dyDescent="0.2"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</row>
    <row r="1244" spans="2:15" x14ac:dyDescent="0.2"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</row>
    <row r="1245" spans="2:15" x14ac:dyDescent="0.2"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</row>
    <row r="1246" spans="2:15" x14ac:dyDescent="0.2"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</row>
    <row r="1247" spans="2:15" x14ac:dyDescent="0.2"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</row>
    <row r="1248" spans="2:15" x14ac:dyDescent="0.2"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</row>
    <row r="1249" spans="2:15" x14ac:dyDescent="0.2"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</row>
    <row r="1250" spans="2:15" x14ac:dyDescent="0.2"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</row>
    <row r="1251" spans="2:15" x14ac:dyDescent="0.2"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</row>
    <row r="1252" spans="2:15" x14ac:dyDescent="0.2"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</row>
    <row r="1253" spans="2:15" x14ac:dyDescent="0.2"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</row>
    <row r="1254" spans="2:15" x14ac:dyDescent="0.2"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</row>
    <row r="1255" spans="2:15" x14ac:dyDescent="0.2"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</row>
    <row r="1256" spans="2:15" x14ac:dyDescent="0.2"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</row>
    <row r="1257" spans="2:15" x14ac:dyDescent="0.2">
      <c r="B1257"/>
      <c r="C1257"/>
      <c r="D1257"/>
      <c r="E1257"/>
      <c r="F1257"/>
      <c r="G1257"/>
      <c r="H1257"/>
      <c r="I1257"/>
      <c r="J1257"/>
      <c r="K1257"/>
      <c r="L1257"/>
      <c r="M1257"/>
      <c r="N1257"/>
      <c r="O1257"/>
    </row>
    <row r="1258" spans="2:15" x14ac:dyDescent="0.2"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</row>
    <row r="1259" spans="2:15" x14ac:dyDescent="0.2"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</row>
    <row r="1260" spans="2:15" x14ac:dyDescent="0.2">
      <c r="B1260"/>
      <c r="C1260"/>
      <c r="D1260"/>
      <c r="E1260"/>
      <c r="F1260"/>
      <c r="G1260"/>
      <c r="H1260"/>
      <c r="I1260"/>
      <c r="J1260"/>
      <c r="K1260"/>
      <c r="L1260"/>
      <c r="M1260"/>
      <c r="N1260"/>
      <c r="O1260"/>
    </row>
    <row r="1261" spans="2:15" x14ac:dyDescent="0.2"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</row>
    <row r="1262" spans="2:15" x14ac:dyDescent="0.2"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O1262"/>
    </row>
    <row r="1263" spans="2:15" x14ac:dyDescent="0.2">
      <c r="B1263"/>
      <c r="C1263"/>
      <c r="D1263"/>
      <c r="E1263"/>
      <c r="F1263"/>
      <c r="G1263"/>
      <c r="H1263"/>
      <c r="I1263"/>
      <c r="J1263"/>
      <c r="K1263"/>
      <c r="L1263"/>
      <c r="M1263"/>
      <c r="N1263"/>
      <c r="O1263"/>
    </row>
    <row r="1264" spans="2:15" x14ac:dyDescent="0.2"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</row>
    <row r="1265" spans="2:15" x14ac:dyDescent="0.2">
      <c r="B1265"/>
      <c r="C1265"/>
      <c r="D1265"/>
      <c r="E1265"/>
      <c r="F1265"/>
      <c r="G1265"/>
      <c r="H1265"/>
      <c r="I1265"/>
      <c r="J1265"/>
      <c r="K1265"/>
      <c r="L1265"/>
      <c r="M1265"/>
      <c r="N1265"/>
      <c r="O1265"/>
    </row>
    <row r="1266" spans="2:15" x14ac:dyDescent="0.2">
      <c r="B1266"/>
      <c r="C1266"/>
      <c r="D1266"/>
      <c r="E1266"/>
      <c r="F1266"/>
      <c r="G1266"/>
      <c r="H1266"/>
      <c r="I1266"/>
      <c r="J1266"/>
      <c r="K1266"/>
      <c r="L1266"/>
      <c r="M1266"/>
      <c r="N1266"/>
      <c r="O1266"/>
    </row>
    <row r="1267" spans="2:15" x14ac:dyDescent="0.2"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</row>
    <row r="1268" spans="2:15" x14ac:dyDescent="0.2">
      <c r="B1268"/>
      <c r="C1268"/>
      <c r="D1268"/>
      <c r="E1268"/>
      <c r="F1268"/>
      <c r="G1268"/>
      <c r="H1268"/>
      <c r="I1268"/>
      <c r="J1268"/>
      <c r="K1268"/>
      <c r="L1268"/>
      <c r="M1268"/>
      <c r="N1268"/>
      <c r="O1268"/>
    </row>
    <row r="1269" spans="2:15" x14ac:dyDescent="0.2">
      <c r="B1269"/>
      <c r="C1269"/>
      <c r="D1269"/>
      <c r="E1269"/>
      <c r="F1269"/>
      <c r="G1269"/>
      <c r="H1269"/>
      <c r="I1269"/>
      <c r="J1269"/>
      <c r="K1269"/>
      <c r="L1269"/>
      <c r="M1269"/>
      <c r="N1269"/>
      <c r="O1269"/>
    </row>
    <row r="1270" spans="2:15" x14ac:dyDescent="0.2"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</row>
    <row r="1271" spans="2:15" x14ac:dyDescent="0.2">
      <c r="B1271"/>
      <c r="C1271"/>
      <c r="D1271"/>
      <c r="E1271"/>
      <c r="F1271"/>
      <c r="G1271"/>
      <c r="H1271"/>
      <c r="I1271"/>
      <c r="J1271"/>
      <c r="K1271"/>
      <c r="L1271"/>
      <c r="M1271"/>
      <c r="N1271"/>
      <c r="O1271"/>
    </row>
    <row r="1272" spans="2:15" x14ac:dyDescent="0.2">
      <c r="B1272"/>
      <c r="C1272"/>
      <c r="D1272"/>
      <c r="E1272"/>
      <c r="F1272"/>
      <c r="G1272"/>
      <c r="H1272"/>
      <c r="I1272"/>
      <c r="J1272"/>
      <c r="K1272"/>
      <c r="L1272"/>
      <c r="M1272"/>
      <c r="N1272"/>
      <c r="O1272"/>
    </row>
    <row r="1273" spans="2:15" x14ac:dyDescent="0.2"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</row>
    <row r="1274" spans="2:15" x14ac:dyDescent="0.2">
      <c r="B1274"/>
      <c r="C1274"/>
      <c r="D1274"/>
      <c r="E1274"/>
      <c r="F1274"/>
      <c r="G1274"/>
      <c r="H1274"/>
      <c r="I1274"/>
      <c r="J1274"/>
      <c r="K1274"/>
      <c r="L1274"/>
      <c r="M1274"/>
      <c r="N1274"/>
      <c r="O1274"/>
    </row>
    <row r="1275" spans="2:15" x14ac:dyDescent="0.2">
      <c r="B1275"/>
      <c r="C1275"/>
      <c r="D1275"/>
      <c r="E1275"/>
      <c r="F1275"/>
      <c r="G1275"/>
      <c r="H1275"/>
      <c r="I1275"/>
      <c r="J1275"/>
      <c r="K1275"/>
      <c r="L1275"/>
      <c r="M1275"/>
      <c r="N1275"/>
      <c r="O1275"/>
    </row>
    <row r="1276" spans="2:15" x14ac:dyDescent="0.2"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</row>
    <row r="1277" spans="2:15" x14ac:dyDescent="0.2">
      <c r="B1277"/>
      <c r="C1277"/>
      <c r="D1277"/>
      <c r="E1277"/>
      <c r="F1277"/>
      <c r="G1277"/>
      <c r="H1277"/>
      <c r="I1277"/>
      <c r="J1277"/>
      <c r="K1277"/>
      <c r="L1277"/>
      <c r="M1277"/>
      <c r="N1277"/>
      <c r="O1277"/>
    </row>
    <row r="1278" spans="2:15" x14ac:dyDescent="0.2">
      <c r="B1278"/>
      <c r="C1278"/>
      <c r="D1278"/>
      <c r="E1278"/>
      <c r="F1278"/>
      <c r="G1278"/>
      <c r="H1278"/>
      <c r="I1278"/>
      <c r="J1278"/>
      <c r="K1278"/>
      <c r="L1278"/>
      <c r="M1278"/>
      <c r="N1278"/>
      <c r="O1278"/>
    </row>
    <row r="1279" spans="2:15" x14ac:dyDescent="0.2"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</row>
    <row r="1280" spans="2:15" x14ac:dyDescent="0.2">
      <c r="B1280"/>
      <c r="C1280"/>
      <c r="D1280"/>
      <c r="E1280"/>
      <c r="F1280"/>
      <c r="G1280"/>
      <c r="H1280"/>
      <c r="I1280"/>
      <c r="J1280"/>
      <c r="K1280"/>
      <c r="L1280"/>
      <c r="M1280"/>
      <c r="N1280"/>
      <c r="O1280"/>
    </row>
    <row r="1281" spans="2:15" x14ac:dyDescent="0.2">
      <c r="B1281"/>
      <c r="C1281"/>
      <c r="D1281"/>
      <c r="E1281"/>
      <c r="F1281"/>
      <c r="G1281"/>
      <c r="H1281"/>
      <c r="I1281"/>
      <c r="J1281"/>
      <c r="K1281"/>
      <c r="L1281"/>
      <c r="M1281"/>
      <c r="N1281"/>
      <c r="O1281"/>
    </row>
    <row r="1282" spans="2:15" x14ac:dyDescent="0.2"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</row>
    <row r="1283" spans="2:15" x14ac:dyDescent="0.2">
      <c r="B1283"/>
      <c r="C1283"/>
      <c r="D1283"/>
      <c r="E1283"/>
      <c r="F1283"/>
      <c r="G1283"/>
      <c r="H1283"/>
      <c r="I1283"/>
      <c r="J1283"/>
      <c r="K1283"/>
      <c r="L1283"/>
      <c r="M1283"/>
      <c r="N1283"/>
      <c r="O1283"/>
    </row>
    <row r="1284" spans="2:15" x14ac:dyDescent="0.2">
      <c r="B1284"/>
      <c r="C1284"/>
      <c r="D1284"/>
      <c r="E1284"/>
      <c r="F1284"/>
      <c r="G1284"/>
      <c r="H1284"/>
      <c r="I1284"/>
      <c r="J1284"/>
      <c r="K1284"/>
      <c r="L1284"/>
      <c r="M1284"/>
      <c r="N1284"/>
      <c r="O1284"/>
    </row>
    <row r="1285" spans="2:15" x14ac:dyDescent="0.2"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</row>
    <row r="1286" spans="2:15" x14ac:dyDescent="0.2">
      <c r="B1286"/>
      <c r="C1286"/>
      <c r="D1286"/>
      <c r="E1286"/>
      <c r="F1286"/>
      <c r="G1286"/>
      <c r="H1286"/>
      <c r="I1286"/>
      <c r="J1286"/>
      <c r="K1286"/>
      <c r="L1286"/>
      <c r="M1286"/>
      <c r="N1286"/>
      <c r="O1286"/>
    </row>
    <row r="1287" spans="2:15" x14ac:dyDescent="0.2">
      <c r="B1287"/>
      <c r="C1287"/>
      <c r="D1287"/>
      <c r="E1287"/>
      <c r="F1287"/>
      <c r="G1287"/>
      <c r="H1287"/>
      <c r="I1287"/>
      <c r="J1287"/>
      <c r="K1287"/>
      <c r="L1287"/>
      <c r="M1287"/>
      <c r="N1287"/>
      <c r="O1287"/>
    </row>
    <row r="1288" spans="2:15" x14ac:dyDescent="0.2"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</row>
    <row r="1289" spans="2:15" x14ac:dyDescent="0.2">
      <c r="B1289"/>
      <c r="C1289"/>
      <c r="D1289"/>
      <c r="E1289"/>
      <c r="F1289"/>
      <c r="G1289"/>
      <c r="H1289"/>
      <c r="I1289"/>
      <c r="J1289"/>
      <c r="K1289"/>
      <c r="L1289"/>
      <c r="M1289"/>
      <c r="N1289"/>
      <c r="O1289"/>
    </row>
    <row r="1290" spans="2:15" x14ac:dyDescent="0.2">
      <c r="B1290"/>
      <c r="C1290"/>
      <c r="D1290"/>
      <c r="E1290"/>
      <c r="F1290"/>
      <c r="G1290"/>
      <c r="H1290"/>
      <c r="I1290"/>
      <c r="J1290"/>
      <c r="K1290"/>
      <c r="L1290"/>
      <c r="M1290"/>
      <c r="N1290"/>
      <c r="O1290"/>
    </row>
    <row r="1291" spans="2:15" x14ac:dyDescent="0.2"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</row>
    <row r="1292" spans="2:15" x14ac:dyDescent="0.2">
      <c r="B1292"/>
      <c r="C1292"/>
      <c r="D1292"/>
      <c r="E1292"/>
      <c r="F1292"/>
      <c r="G1292"/>
      <c r="H1292"/>
      <c r="I1292"/>
      <c r="J1292"/>
      <c r="K1292"/>
      <c r="L1292"/>
      <c r="M1292"/>
      <c r="N1292"/>
      <c r="O1292"/>
    </row>
    <row r="1293" spans="2:15" x14ac:dyDescent="0.2">
      <c r="B1293"/>
      <c r="C1293"/>
      <c r="D1293"/>
      <c r="E1293"/>
      <c r="F1293"/>
      <c r="G1293"/>
      <c r="H1293"/>
      <c r="I1293"/>
      <c r="J1293"/>
      <c r="K1293"/>
      <c r="L1293"/>
      <c r="M1293"/>
      <c r="N1293"/>
      <c r="O1293"/>
    </row>
    <row r="1294" spans="2:15" x14ac:dyDescent="0.2"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</row>
    <row r="1295" spans="2:15" x14ac:dyDescent="0.2">
      <c r="B1295"/>
      <c r="C1295"/>
      <c r="D1295"/>
      <c r="E1295"/>
      <c r="F1295"/>
      <c r="G1295"/>
      <c r="H1295"/>
      <c r="I1295"/>
      <c r="J1295"/>
      <c r="K1295"/>
      <c r="L1295"/>
      <c r="M1295"/>
      <c r="N1295"/>
      <c r="O1295"/>
    </row>
    <row r="1296" spans="2:15" x14ac:dyDescent="0.2">
      <c r="B1296"/>
      <c r="C1296"/>
      <c r="D1296"/>
      <c r="E1296"/>
      <c r="F1296"/>
      <c r="G1296"/>
      <c r="H1296"/>
      <c r="I1296"/>
      <c r="J1296"/>
      <c r="K1296"/>
      <c r="L1296"/>
      <c r="M1296"/>
      <c r="N1296"/>
      <c r="O1296"/>
    </row>
    <row r="1297" spans="2:15" x14ac:dyDescent="0.2"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</row>
    <row r="1298" spans="2:15" x14ac:dyDescent="0.2">
      <c r="B1298"/>
      <c r="C1298"/>
      <c r="D1298"/>
      <c r="E1298"/>
      <c r="F1298"/>
      <c r="G1298"/>
      <c r="H1298"/>
      <c r="I1298"/>
      <c r="J1298"/>
      <c r="K1298"/>
      <c r="L1298"/>
      <c r="M1298"/>
      <c r="N1298"/>
      <c r="O1298"/>
    </row>
    <row r="1299" spans="2:15" x14ac:dyDescent="0.2">
      <c r="B1299"/>
      <c r="C1299"/>
      <c r="D1299"/>
      <c r="E1299"/>
      <c r="F1299"/>
      <c r="G1299"/>
      <c r="H1299"/>
      <c r="I1299"/>
      <c r="J1299"/>
      <c r="K1299"/>
      <c r="L1299"/>
      <c r="M1299"/>
      <c r="N1299"/>
      <c r="O1299"/>
    </row>
    <row r="1300" spans="2:15" x14ac:dyDescent="0.2"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</row>
    <row r="1301" spans="2:15" x14ac:dyDescent="0.2">
      <c r="B1301"/>
      <c r="C1301"/>
      <c r="D1301"/>
      <c r="E1301"/>
      <c r="F1301"/>
      <c r="G1301"/>
      <c r="H1301"/>
      <c r="I1301"/>
      <c r="J1301"/>
      <c r="K1301"/>
      <c r="L1301"/>
      <c r="M1301"/>
      <c r="N1301"/>
      <c r="O1301"/>
    </row>
    <row r="1302" spans="2:15" x14ac:dyDescent="0.2">
      <c r="B1302"/>
      <c r="C1302"/>
      <c r="D1302"/>
      <c r="E1302"/>
      <c r="F1302"/>
      <c r="G1302"/>
      <c r="H1302"/>
      <c r="I1302"/>
      <c r="J1302"/>
      <c r="K1302"/>
      <c r="L1302"/>
      <c r="M1302"/>
      <c r="N1302"/>
      <c r="O1302"/>
    </row>
    <row r="1303" spans="2:15" x14ac:dyDescent="0.2"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</row>
    <row r="1304" spans="2:15" x14ac:dyDescent="0.2">
      <c r="B1304"/>
      <c r="C1304"/>
      <c r="D1304"/>
      <c r="E1304"/>
      <c r="F1304"/>
      <c r="G1304"/>
      <c r="H1304"/>
      <c r="I1304"/>
      <c r="J1304"/>
      <c r="K1304"/>
      <c r="L1304"/>
      <c r="M1304"/>
      <c r="N1304"/>
      <c r="O1304"/>
    </row>
    <row r="1305" spans="2:15" x14ac:dyDescent="0.2">
      <c r="B1305"/>
      <c r="C1305"/>
      <c r="D1305"/>
      <c r="E1305"/>
      <c r="F1305"/>
      <c r="G1305"/>
      <c r="H1305"/>
      <c r="I1305"/>
      <c r="J1305"/>
      <c r="K1305"/>
      <c r="L1305"/>
      <c r="M1305"/>
      <c r="N1305"/>
      <c r="O1305"/>
    </row>
    <row r="1306" spans="2:15" x14ac:dyDescent="0.2"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</row>
    <row r="1307" spans="2:15" x14ac:dyDescent="0.2">
      <c r="B1307"/>
      <c r="C1307"/>
      <c r="D1307"/>
      <c r="E1307"/>
      <c r="F1307"/>
      <c r="G1307"/>
      <c r="H1307"/>
      <c r="I1307"/>
      <c r="J1307"/>
      <c r="K1307"/>
      <c r="L1307"/>
      <c r="M1307"/>
      <c r="N1307"/>
      <c r="O1307"/>
    </row>
    <row r="1308" spans="2:15" x14ac:dyDescent="0.2">
      <c r="B1308"/>
      <c r="C1308"/>
      <c r="D1308"/>
      <c r="E1308"/>
      <c r="F1308"/>
      <c r="G1308"/>
      <c r="H1308"/>
      <c r="I1308"/>
      <c r="J1308"/>
      <c r="K1308"/>
      <c r="L1308"/>
      <c r="M1308"/>
      <c r="N1308"/>
      <c r="O1308"/>
    </row>
    <row r="1309" spans="2:15" x14ac:dyDescent="0.2"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</row>
    <row r="1310" spans="2:15" x14ac:dyDescent="0.2">
      <c r="B1310"/>
      <c r="C1310"/>
      <c r="D1310"/>
      <c r="E1310"/>
      <c r="F1310"/>
      <c r="G1310"/>
      <c r="H1310"/>
      <c r="I1310"/>
      <c r="J1310"/>
      <c r="K1310"/>
      <c r="L1310"/>
      <c r="M1310"/>
      <c r="N1310"/>
      <c r="O1310"/>
    </row>
    <row r="1311" spans="2:15" x14ac:dyDescent="0.2">
      <c r="B1311"/>
      <c r="C1311"/>
      <c r="D1311"/>
      <c r="E1311"/>
      <c r="F1311"/>
      <c r="G1311"/>
      <c r="H1311"/>
      <c r="I1311"/>
      <c r="J1311"/>
      <c r="K1311"/>
      <c r="L1311"/>
      <c r="M1311"/>
      <c r="N1311"/>
      <c r="O1311"/>
    </row>
    <row r="1312" spans="2:15" x14ac:dyDescent="0.2"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</row>
    <row r="1313" spans="2:15" x14ac:dyDescent="0.2">
      <c r="B1313"/>
      <c r="C1313"/>
      <c r="D1313"/>
      <c r="E1313"/>
      <c r="F1313"/>
      <c r="G1313"/>
      <c r="H1313"/>
      <c r="I1313"/>
      <c r="J1313"/>
      <c r="K1313"/>
      <c r="L1313"/>
      <c r="M1313"/>
      <c r="N1313"/>
      <c r="O1313"/>
    </row>
    <row r="1314" spans="2:15" x14ac:dyDescent="0.2">
      <c r="B1314"/>
      <c r="C1314"/>
      <c r="D1314"/>
      <c r="E1314"/>
      <c r="F1314"/>
      <c r="G1314"/>
      <c r="H1314"/>
      <c r="I1314"/>
      <c r="J1314"/>
      <c r="K1314"/>
      <c r="L1314"/>
      <c r="M1314"/>
      <c r="N1314"/>
      <c r="O1314"/>
    </row>
    <row r="1315" spans="2:15" x14ac:dyDescent="0.2"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</row>
    <row r="1316" spans="2:15" x14ac:dyDescent="0.2">
      <c r="B1316"/>
      <c r="C1316"/>
      <c r="D1316"/>
      <c r="E1316"/>
      <c r="F1316"/>
      <c r="G1316"/>
      <c r="H1316"/>
      <c r="I1316"/>
      <c r="J1316"/>
      <c r="K1316"/>
      <c r="L1316"/>
      <c r="M1316"/>
      <c r="N1316"/>
      <c r="O1316"/>
    </row>
    <row r="1317" spans="2:15" x14ac:dyDescent="0.2">
      <c r="B1317"/>
      <c r="C1317"/>
      <c r="D1317"/>
      <c r="E1317"/>
      <c r="F1317"/>
      <c r="G1317"/>
      <c r="H1317"/>
      <c r="I1317"/>
      <c r="J1317"/>
      <c r="K1317"/>
      <c r="L1317"/>
      <c r="M1317"/>
      <c r="N1317"/>
      <c r="O1317"/>
    </row>
    <row r="1318" spans="2:15" x14ac:dyDescent="0.2"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</row>
    <row r="1319" spans="2:15" x14ac:dyDescent="0.2">
      <c r="B1319"/>
      <c r="C1319"/>
      <c r="D1319"/>
      <c r="E1319"/>
      <c r="F1319"/>
      <c r="G1319"/>
      <c r="H1319"/>
      <c r="I1319"/>
      <c r="J1319"/>
      <c r="K1319"/>
      <c r="L1319"/>
      <c r="M1319"/>
      <c r="N1319"/>
      <c r="O1319"/>
    </row>
    <row r="1320" spans="2:15" x14ac:dyDescent="0.2">
      <c r="B1320"/>
      <c r="C1320"/>
      <c r="D1320"/>
      <c r="E1320"/>
      <c r="F1320"/>
      <c r="G1320"/>
      <c r="H1320"/>
      <c r="I1320"/>
      <c r="J1320"/>
      <c r="K1320"/>
      <c r="L1320"/>
      <c r="M1320"/>
      <c r="N1320"/>
      <c r="O1320"/>
    </row>
    <row r="1321" spans="2:15" x14ac:dyDescent="0.2"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</row>
    <row r="1322" spans="2:15" x14ac:dyDescent="0.2">
      <c r="B1322"/>
      <c r="C1322"/>
      <c r="D1322"/>
      <c r="E1322"/>
      <c r="F1322"/>
      <c r="G1322"/>
      <c r="H1322"/>
      <c r="I1322"/>
      <c r="J1322"/>
      <c r="K1322"/>
      <c r="L1322"/>
      <c r="M1322"/>
      <c r="N1322"/>
      <c r="O1322"/>
    </row>
    <row r="1323" spans="2:15" x14ac:dyDescent="0.2">
      <c r="B1323"/>
      <c r="C1323"/>
      <c r="D1323"/>
      <c r="E1323"/>
      <c r="F1323"/>
      <c r="G1323"/>
      <c r="H1323"/>
      <c r="I1323"/>
      <c r="J1323"/>
      <c r="K1323"/>
      <c r="L1323"/>
      <c r="M1323"/>
      <c r="N1323"/>
      <c r="O1323"/>
    </row>
    <row r="1324" spans="2:15" x14ac:dyDescent="0.2"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</row>
    <row r="1325" spans="2:15" x14ac:dyDescent="0.2">
      <c r="B1325"/>
      <c r="C1325"/>
      <c r="D1325"/>
      <c r="E1325"/>
      <c r="F1325"/>
      <c r="G1325"/>
      <c r="H1325"/>
      <c r="I1325"/>
      <c r="J1325"/>
      <c r="K1325"/>
      <c r="L1325"/>
      <c r="M1325"/>
      <c r="N1325"/>
      <c r="O1325"/>
    </row>
    <row r="1326" spans="2:15" x14ac:dyDescent="0.2">
      <c r="B1326"/>
      <c r="C1326"/>
      <c r="D1326"/>
      <c r="E1326"/>
      <c r="F1326"/>
      <c r="G1326"/>
      <c r="H1326"/>
      <c r="I1326"/>
      <c r="J1326"/>
      <c r="K1326"/>
      <c r="L1326"/>
      <c r="M1326"/>
      <c r="N1326"/>
      <c r="O1326"/>
    </row>
    <row r="1327" spans="2:15" x14ac:dyDescent="0.2"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</row>
    <row r="1328" spans="2:15" x14ac:dyDescent="0.2">
      <c r="B1328"/>
      <c r="C1328"/>
      <c r="D1328"/>
      <c r="E1328"/>
      <c r="F1328"/>
      <c r="G1328"/>
      <c r="H1328"/>
      <c r="I1328"/>
      <c r="J1328"/>
      <c r="K1328"/>
      <c r="L1328"/>
      <c r="M1328"/>
      <c r="N1328"/>
      <c r="O1328"/>
    </row>
    <row r="1329" spans="2:15" x14ac:dyDescent="0.2">
      <c r="B1329"/>
      <c r="C1329"/>
      <c r="D1329"/>
      <c r="E1329"/>
      <c r="F1329"/>
      <c r="G1329"/>
      <c r="H1329"/>
      <c r="I1329"/>
      <c r="J1329"/>
      <c r="K1329"/>
      <c r="L1329"/>
      <c r="M1329"/>
      <c r="N1329"/>
      <c r="O1329"/>
    </row>
    <row r="1330" spans="2:15" x14ac:dyDescent="0.2"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</row>
    <row r="1331" spans="2:15" x14ac:dyDescent="0.2">
      <c r="B1331"/>
      <c r="C1331"/>
      <c r="D1331"/>
      <c r="E1331"/>
      <c r="F1331"/>
      <c r="G1331"/>
      <c r="H1331"/>
      <c r="I1331"/>
      <c r="J1331"/>
      <c r="K1331"/>
      <c r="L1331"/>
      <c r="M1331"/>
      <c r="N1331"/>
      <c r="O1331"/>
    </row>
    <row r="1332" spans="2:15" x14ac:dyDescent="0.2">
      <c r="B1332"/>
      <c r="C1332"/>
      <c r="D1332"/>
      <c r="E1332"/>
      <c r="F1332"/>
      <c r="G1332"/>
      <c r="H1332"/>
      <c r="I1332"/>
      <c r="J1332"/>
      <c r="K1332"/>
      <c r="L1332"/>
      <c r="M1332"/>
      <c r="N1332"/>
      <c r="O1332"/>
    </row>
    <row r="1333" spans="2:15" x14ac:dyDescent="0.2">
      <c r="B1333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</row>
    <row r="1334" spans="2:15" x14ac:dyDescent="0.2">
      <c r="B1334"/>
      <c r="C1334"/>
      <c r="D1334"/>
      <c r="E1334"/>
      <c r="F1334"/>
      <c r="G1334"/>
      <c r="H1334"/>
      <c r="I1334"/>
      <c r="J1334"/>
      <c r="K1334"/>
      <c r="L1334"/>
      <c r="M1334"/>
      <c r="N1334"/>
      <c r="O1334"/>
    </row>
    <row r="1335" spans="2:15" x14ac:dyDescent="0.2">
      <c r="B1335"/>
      <c r="C1335"/>
      <c r="D1335"/>
      <c r="E1335"/>
      <c r="F1335"/>
      <c r="G1335"/>
      <c r="H1335"/>
      <c r="I1335"/>
      <c r="J1335"/>
      <c r="K1335"/>
      <c r="L1335"/>
      <c r="M1335"/>
      <c r="N1335"/>
      <c r="O1335"/>
    </row>
    <row r="1336" spans="2:15" x14ac:dyDescent="0.2">
      <c r="B1336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</row>
    <row r="1337" spans="2:15" x14ac:dyDescent="0.2">
      <c r="B1337"/>
      <c r="C1337"/>
      <c r="D1337"/>
      <c r="E1337"/>
      <c r="F1337"/>
      <c r="G1337"/>
      <c r="H1337"/>
      <c r="I1337"/>
      <c r="J1337"/>
      <c r="K1337"/>
      <c r="L1337"/>
      <c r="M1337"/>
      <c r="N1337"/>
      <c r="O1337"/>
    </row>
    <row r="1338" spans="2:15" x14ac:dyDescent="0.2">
      <c r="B1338"/>
      <c r="C1338"/>
      <c r="D1338"/>
      <c r="E1338"/>
      <c r="F1338"/>
      <c r="G1338"/>
      <c r="H1338"/>
      <c r="I1338"/>
      <c r="J1338"/>
      <c r="K1338"/>
      <c r="L1338"/>
      <c r="M1338"/>
      <c r="N1338"/>
      <c r="O1338"/>
    </row>
    <row r="1339" spans="2:15" x14ac:dyDescent="0.2">
      <c r="B1339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</row>
    <row r="1340" spans="2:15" x14ac:dyDescent="0.2">
      <c r="B1340"/>
      <c r="C1340"/>
      <c r="D1340"/>
      <c r="E1340"/>
      <c r="F1340"/>
      <c r="G1340"/>
      <c r="H1340"/>
      <c r="I1340"/>
      <c r="J1340"/>
      <c r="K1340"/>
      <c r="L1340"/>
      <c r="M1340"/>
      <c r="N1340"/>
      <c r="O1340"/>
    </row>
    <row r="1341" spans="2:15" x14ac:dyDescent="0.2">
      <c r="B1341"/>
      <c r="C1341"/>
      <c r="D1341"/>
      <c r="E1341"/>
      <c r="F1341"/>
      <c r="G1341"/>
      <c r="H1341"/>
      <c r="I1341"/>
      <c r="J1341"/>
      <c r="K1341"/>
      <c r="L1341"/>
      <c r="M1341"/>
      <c r="N1341"/>
      <c r="O1341"/>
    </row>
    <row r="1342" spans="2:15" x14ac:dyDescent="0.2">
      <c r="B1342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</row>
    <row r="1343" spans="2:15" x14ac:dyDescent="0.2">
      <c r="B1343"/>
      <c r="C1343"/>
      <c r="D1343"/>
      <c r="E1343"/>
      <c r="F1343"/>
      <c r="G1343"/>
      <c r="H1343"/>
      <c r="I1343"/>
      <c r="J1343"/>
      <c r="K1343"/>
      <c r="L1343"/>
      <c r="M1343"/>
      <c r="N1343"/>
      <c r="O1343"/>
    </row>
    <row r="1344" spans="2:15" x14ac:dyDescent="0.2">
      <c r="B1344"/>
      <c r="C1344"/>
      <c r="D1344"/>
      <c r="E1344"/>
      <c r="F1344"/>
      <c r="G1344"/>
      <c r="H1344"/>
      <c r="I1344"/>
      <c r="J1344"/>
      <c r="K1344"/>
      <c r="L1344"/>
      <c r="M1344"/>
      <c r="N1344"/>
      <c r="O1344"/>
    </row>
    <row r="1345" spans="2:15" x14ac:dyDescent="0.2">
      <c r="B1345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</row>
    <row r="1346" spans="2:15" x14ac:dyDescent="0.2">
      <c r="B1346"/>
      <c r="C1346"/>
      <c r="D1346"/>
      <c r="E1346"/>
      <c r="F1346"/>
      <c r="G1346"/>
      <c r="H1346"/>
      <c r="I1346"/>
      <c r="J1346"/>
      <c r="K1346"/>
      <c r="L1346"/>
      <c r="M1346"/>
      <c r="N1346"/>
      <c r="O1346"/>
    </row>
    <row r="1347" spans="2:15" x14ac:dyDescent="0.2">
      <c r="B1347"/>
      <c r="C1347"/>
      <c r="D1347"/>
      <c r="E1347"/>
      <c r="F1347"/>
      <c r="G1347"/>
      <c r="H1347"/>
      <c r="I1347"/>
      <c r="J1347"/>
      <c r="K1347"/>
      <c r="L1347"/>
      <c r="M1347"/>
      <c r="N1347"/>
      <c r="O1347"/>
    </row>
    <row r="1348" spans="2:15" x14ac:dyDescent="0.2">
      <c r="B1348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</row>
    <row r="1349" spans="2:15" x14ac:dyDescent="0.2">
      <c r="B1349"/>
      <c r="C1349"/>
      <c r="D1349"/>
      <c r="E1349"/>
      <c r="F1349"/>
      <c r="G1349"/>
      <c r="H1349"/>
      <c r="I1349"/>
      <c r="J1349"/>
      <c r="K1349"/>
      <c r="L1349"/>
      <c r="M1349"/>
      <c r="N1349"/>
      <c r="O1349"/>
    </row>
    <row r="1350" spans="2:15" x14ac:dyDescent="0.2">
      <c r="B1350"/>
      <c r="C1350"/>
      <c r="D1350"/>
      <c r="E1350"/>
      <c r="F1350"/>
      <c r="G1350"/>
      <c r="H1350"/>
      <c r="I1350"/>
      <c r="J1350"/>
      <c r="K1350"/>
      <c r="L1350"/>
      <c r="M1350"/>
      <c r="N1350"/>
      <c r="O1350"/>
    </row>
    <row r="1351" spans="2:15" x14ac:dyDescent="0.2">
      <c r="B1351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</row>
    <row r="1352" spans="2:15" x14ac:dyDescent="0.2">
      <c r="B1352"/>
      <c r="C1352"/>
      <c r="D1352"/>
      <c r="E1352"/>
      <c r="F1352"/>
      <c r="G1352"/>
      <c r="H1352"/>
      <c r="I1352"/>
      <c r="J1352"/>
      <c r="K1352"/>
      <c r="L1352"/>
      <c r="M1352"/>
      <c r="N1352"/>
      <c r="O1352"/>
    </row>
    <row r="1353" spans="2:15" x14ac:dyDescent="0.2">
      <c r="B1353"/>
      <c r="C1353"/>
      <c r="D1353"/>
      <c r="E1353"/>
      <c r="F1353"/>
      <c r="G1353"/>
      <c r="H1353"/>
      <c r="I1353"/>
      <c r="J1353"/>
      <c r="K1353"/>
      <c r="L1353"/>
      <c r="M1353"/>
      <c r="N1353"/>
      <c r="O1353"/>
    </row>
    <row r="1354" spans="2:15" x14ac:dyDescent="0.2">
      <c r="B1354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</row>
    <row r="1355" spans="2:15" x14ac:dyDescent="0.2">
      <c r="B1355"/>
      <c r="C1355"/>
      <c r="D1355"/>
      <c r="E1355"/>
      <c r="F1355"/>
      <c r="G1355"/>
      <c r="H1355"/>
      <c r="I1355"/>
      <c r="J1355"/>
      <c r="K1355"/>
      <c r="L1355"/>
      <c r="M1355"/>
      <c r="N1355"/>
      <c r="O1355"/>
    </row>
    <row r="1356" spans="2:15" x14ac:dyDescent="0.2">
      <c r="B1356"/>
      <c r="C1356"/>
      <c r="D1356"/>
      <c r="E1356"/>
      <c r="F1356"/>
      <c r="G1356"/>
      <c r="H1356"/>
      <c r="I1356"/>
      <c r="J1356"/>
      <c r="K1356"/>
      <c r="L1356"/>
      <c r="M1356"/>
      <c r="N1356"/>
      <c r="O1356"/>
    </row>
    <row r="1357" spans="2:15" x14ac:dyDescent="0.2">
      <c r="B135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</row>
    <row r="1358" spans="2:15" x14ac:dyDescent="0.2">
      <c r="B1358"/>
      <c r="C1358"/>
      <c r="D1358"/>
      <c r="E1358"/>
      <c r="F1358"/>
      <c r="G1358"/>
      <c r="H1358"/>
      <c r="I1358"/>
      <c r="J1358"/>
      <c r="K1358"/>
      <c r="L1358"/>
      <c r="M1358"/>
      <c r="N1358"/>
      <c r="O1358"/>
    </row>
    <row r="1359" spans="2:15" x14ac:dyDescent="0.2">
      <c r="B1359"/>
      <c r="C1359"/>
      <c r="D1359"/>
      <c r="E1359"/>
      <c r="F1359"/>
      <c r="G1359"/>
      <c r="H1359"/>
      <c r="I1359"/>
      <c r="J1359"/>
      <c r="K1359"/>
      <c r="L1359"/>
      <c r="M1359"/>
      <c r="N1359"/>
      <c r="O1359"/>
    </row>
    <row r="1360" spans="2:15" x14ac:dyDescent="0.2">
      <c r="B1360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</row>
    <row r="1361" spans="2:15" x14ac:dyDescent="0.2">
      <c r="B1361"/>
      <c r="C1361"/>
      <c r="D1361"/>
      <c r="E1361"/>
      <c r="F1361"/>
      <c r="G1361"/>
      <c r="H1361"/>
      <c r="I1361"/>
      <c r="J1361"/>
      <c r="K1361"/>
      <c r="L1361"/>
      <c r="M1361"/>
      <c r="N1361"/>
      <c r="O1361"/>
    </row>
    <row r="1362" spans="2:15" x14ac:dyDescent="0.2">
      <c r="B1362"/>
      <c r="C1362"/>
      <c r="D1362"/>
      <c r="E1362"/>
      <c r="F1362"/>
      <c r="G1362"/>
      <c r="H1362"/>
      <c r="I1362"/>
      <c r="J1362"/>
      <c r="K1362"/>
      <c r="L1362"/>
      <c r="M1362"/>
      <c r="N1362"/>
      <c r="O1362"/>
    </row>
    <row r="1363" spans="2:15" x14ac:dyDescent="0.2">
      <c r="B1363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</row>
    <row r="1364" spans="2:15" x14ac:dyDescent="0.2">
      <c r="B1364"/>
      <c r="C1364"/>
      <c r="D1364"/>
      <c r="E1364"/>
      <c r="F1364"/>
      <c r="G1364"/>
      <c r="H1364"/>
      <c r="I1364"/>
      <c r="J1364"/>
      <c r="K1364"/>
      <c r="L1364"/>
      <c r="M1364"/>
      <c r="N1364"/>
      <c r="O1364"/>
    </row>
    <row r="1365" spans="2:15" x14ac:dyDescent="0.2">
      <c r="B1365"/>
      <c r="C1365"/>
      <c r="D1365"/>
      <c r="E1365"/>
      <c r="F1365"/>
      <c r="G1365"/>
      <c r="H1365"/>
      <c r="I1365"/>
      <c r="J1365"/>
      <c r="K1365"/>
      <c r="L1365"/>
      <c r="M1365"/>
      <c r="N1365"/>
      <c r="O1365"/>
    </row>
    <row r="1366" spans="2:15" x14ac:dyDescent="0.2">
      <c r="B1366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</row>
    <row r="1367" spans="2:15" x14ac:dyDescent="0.2">
      <c r="B1367"/>
      <c r="C1367"/>
      <c r="D1367"/>
      <c r="E1367"/>
      <c r="F1367"/>
      <c r="G1367"/>
      <c r="H1367"/>
      <c r="I1367"/>
      <c r="J1367"/>
      <c r="K1367"/>
      <c r="L1367"/>
      <c r="M1367"/>
      <c r="N1367"/>
      <c r="O1367"/>
    </row>
    <row r="1368" spans="2:15" x14ac:dyDescent="0.2">
      <c r="B1368"/>
      <c r="C1368"/>
      <c r="D1368"/>
      <c r="E1368"/>
      <c r="F1368"/>
      <c r="G1368"/>
      <c r="H1368"/>
      <c r="I1368"/>
      <c r="J1368"/>
      <c r="K1368"/>
      <c r="L1368"/>
      <c r="M1368"/>
      <c r="N1368"/>
      <c r="O1368"/>
    </row>
    <row r="1369" spans="2:15" x14ac:dyDescent="0.2">
      <c r="B1369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</row>
    <row r="1370" spans="2:15" x14ac:dyDescent="0.2">
      <c r="B1370"/>
      <c r="C1370"/>
      <c r="D1370"/>
      <c r="E1370"/>
      <c r="F1370"/>
      <c r="G1370"/>
      <c r="H1370"/>
      <c r="I1370"/>
      <c r="J1370"/>
      <c r="K1370"/>
      <c r="L1370"/>
      <c r="M1370"/>
      <c r="N1370"/>
      <c r="O1370"/>
    </row>
    <row r="1371" spans="2:15" x14ac:dyDescent="0.2">
      <c r="B1371"/>
      <c r="C1371"/>
      <c r="D1371"/>
      <c r="E1371"/>
      <c r="F1371"/>
      <c r="G1371"/>
      <c r="H1371"/>
      <c r="I1371"/>
      <c r="J1371"/>
      <c r="K1371"/>
      <c r="L1371"/>
      <c r="M1371"/>
      <c r="N1371"/>
      <c r="O1371"/>
    </row>
    <row r="1372" spans="2:15" x14ac:dyDescent="0.2">
      <c r="B1372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</row>
    <row r="1373" spans="2:15" x14ac:dyDescent="0.2">
      <c r="B1373"/>
      <c r="C1373"/>
      <c r="D1373"/>
      <c r="E1373"/>
      <c r="F1373"/>
      <c r="G1373"/>
      <c r="H1373"/>
      <c r="I1373"/>
      <c r="J1373"/>
      <c r="K1373"/>
      <c r="L1373"/>
      <c r="M1373"/>
      <c r="N1373"/>
      <c r="O1373"/>
    </row>
    <row r="1374" spans="2:15" x14ac:dyDescent="0.2">
      <c r="B1374"/>
      <c r="C1374"/>
      <c r="D1374"/>
      <c r="E1374"/>
      <c r="F1374"/>
      <c r="G1374"/>
      <c r="H1374"/>
      <c r="I1374"/>
      <c r="J1374"/>
      <c r="K1374"/>
      <c r="L1374"/>
      <c r="M1374"/>
      <c r="N1374"/>
      <c r="O1374"/>
    </row>
    <row r="1375" spans="2:15" x14ac:dyDescent="0.2">
      <c r="B1375"/>
      <c r="C1375"/>
      <c r="D1375"/>
      <c r="E1375"/>
      <c r="F1375"/>
      <c r="G1375"/>
      <c r="H1375"/>
      <c r="I1375"/>
      <c r="J1375"/>
      <c r="K1375"/>
      <c r="L1375"/>
      <c r="M1375"/>
      <c r="N1375"/>
      <c r="O1375"/>
    </row>
    <row r="1376" spans="2:15" x14ac:dyDescent="0.2">
      <c r="B1376"/>
      <c r="C1376"/>
      <c r="D1376"/>
      <c r="E1376"/>
      <c r="F1376"/>
      <c r="G1376"/>
      <c r="H1376"/>
      <c r="I1376"/>
      <c r="J1376"/>
      <c r="K1376"/>
      <c r="L1376"/>
      <c r="M1376"/>
      <c r="N1376"/>
      <c r="O1376"/>
    </row>
    <row r="1377" spans="2:15" x14ac:dyDescent="0.2">
      <c r="B1377"/>
      <c r="C1377"/>
      <c r="D1377"/>
      <c r="E1377"/>
      <c r="F1377"/>
      <c r="G1377"/>
      <c r="H1377"/>
      <c r="I1377"/>
      <c r="J1377"/>
      <c r="K1377"/>
      <c r="L1377"/>
      <c r="M1377"/>
      <c r="N1377"/>
      <c r="O1377"/>
    </row>
    <row r="1378" spans="2:15" x14ac:dyDescent="0.2">
      <c r="B1378"/>
      <c r="C1378"/>
      <c r="D1378"/>
      <c r="E1378"/>
      <c r="F1378"/>
      <c r="G1378"/>
      <c r="H1378"/>
      <c r="I1378"/>
      <c r="J1378"/>
      <c r="K1378"/>
      <c r="L1378"/>
      <c r="M1378"/>
      <c r="N1378"/>
      <c r="O1378"/>
    </row>
    <row r="1379" spans="2:15" x14ac:dyDescent="0.2">
      <c r="B1379"/>
      <c r="C1379"/>
      <c r="D1379"/>
      <c r="E1379"/>
      <c r="F1379"/>
      <c r="G1379"/>
      <c r="H1379"/>
      <c r="I1379"/>
      <c r="J1379"/>
      <c r="K1379"/>
      <c r="L1379"/>
      <c r="M1379"/>
      <c r="N1379"/>
      <c r="O1379"/>
    </row>
    <row r="1380" spans="2:15" x14ac:dyDescent="0.2">
      <c r="B1380"/>
      <c r="C1380"/>
      <c r="D1380"/>
      <c r="E1380"/>
      <c r="F1380"/>
      <c r="G1380"/>
      <c r="H1380"/>
      <c r="I1380"/>
      <c r="J1380"/>
      <c r="K1380"/>
      <c r="L1380"/>
      <c r="M1380"/>
      <c r="N1380"/>
      <c r="O1380"/>
    </row>
    <row r="1381" spans="2:15" x14ac:dyDescent="0.2">
      <c r="B1381"/>
      <c r="C1381"/>
      <c r="D1381"/>
      <c r="E1381"/>
      <c r="F1381"/>
      <c r="G1381"/>
      <c r="H1381"/>
      <c r="I1381"/>
      <c r="J1381"/>
      <c r="K1381"/>
      <c r="L1381"/>
      <c r="M1381"/>
      <c r="N1381"/>
      <c r="O1381"/>
    </row>
    <row r="1382" spans="2:15" x14ac:dyDescent="0.2">
      <c r="B1382"/>
      <c r="C1382"/>
      <c r="D1382"/>
      <c r="E1382"/>
      <c r="F1382"/>
      <c r="G1382"/>
      <c r="H1382"/>
      <c r="I1382"/>
      <c r="J1382"/>
      <c r="K1382"/>
      <c r="L1382"/>
      <c r="M1382"/>
      <c r="N1382"/>
      <c r="O1382"/>
    </row>
    <row r="1383" spans="2:15" x14ac:dyDescent="0.2">
      <c r="B1383"/>
      <c r="C1383"/>
      <c r="D1383"/>
      <c r="E1383"/>
      <c r="F1383"/>
      <c r="G1383"/>
      <c r="H1383"/>
      <c r="I1383"/>
      <c r="J1383"/>
      <c r="K1383"/>
      <c r="L1383"/>
      <c r="M1383"/>
      <c r="N1383"/>
      <c r="O1383"/>
    </row>
    <row r="1384" spans="2:15" x14ac:dyDescent="0.2">
      <c r="B1384"/>
      <c r="C1384"/>
      <c r="D1384"/>
      <c r="E1384"/>
      <c r="F1384"/>
      <c r="G1384"/>
      <c r="H1384"/>
      <c r="I1384"/>
      <c r="J1384"/>
      <c r="K1384"/>
      <c r="L1384"/>
      <c r="M1384"/>
      <c r="N1384"/>
      <c r="O1384"/>
    </row>
    <row r="1385" spans="2:15" x14ac:dyDescent="0.2">
      <c r="B1385"/>
      <c r="C1385"/>
      <c r="D1385"/>
      <c r="E1385"/>
      <c r="F1385"/>
      <c r="G1385"/>
      <c r="H1385"/>
      <c r="I1385"/>
      <c r="J1385"/>
      <c r="K1385"/>
      <c r="L1385"/>
      <c r="M1385"/>
      <c r="N1385"/>
      <c r="O1385"/>
    </row>
    <row r="1386" spans="2:15" x14ac:dyDescent="0.2">
      <c r="B1386"/>
      <c r="C1386"/>
      <c r="D1386"/>
      <c r="E1386"/>
      <c r="F1386"/>
      <c r="G1386"/>
      <c r="H1386"/>
      <c r="I1386"/>
      <c r="J1386"/>
      <c r="K1386"/>
      <c r="L1386"/>
      <c r="M1386"/>
      <c r="N1386"/>
      <c r="O1386"/>
    </row>
    <row r="1387" spans="2:15" x14ac:dyDescent="0.2">
      <c r="B138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</row>
    <row r="1388" spans="2:15" x14ac:dyDescent="0.2">
      <c r="B1388"/>
      <c r="C1388"/>
      <c r="D1388"/>
      <c r="E1388"/>
      <c r="F1388"/>
      <c r="G1388"/>
      <c r="H1388"/>
      <c r="I1388"/>
      <c r="J1388"/>
      <c r="K1388"/>
      <c r="L1388"/>
      <c r="M1388"/>
      <c r="N1388"/>
      <c r="O1388"/>
    </row>
    <row r="1389" spans="2:15" x14ac:dyDescent="0.2">
      <c r="B1389"/>
      <c r="C1389"/>
      <c r="D1389"/>
      <c r="E1389"/>
      <c r="F1389"/>
      <c r="G1389"/>
      <c r="H1389"/>
      <c r="I1389"/>
      <c r="J1389"/>
      <c r="K1389"/>
      <c r="L1389"/>
      <c r="M1389"/>
      <c r="N1389"/>
      <c r="O1389"/>
    </row>
    <row r="1390" spans="2:15" x14ac:dyDescent="0.2">
      <c r="B1390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</row>
    <row r="1391" spans="2:15" x14ac:dyDescent="0.2">
      <c r="B1391"/>
      <c r="C1391"/>
      <c r="D1391"/>
      <c r="E1391"/>
      <c r="F1391"/>
      <c r="G1391"/>
      <c r="H1391"/>
      <c r="I1391"/>
      <c r="J1391"/>
      <c r="K1391"/>
      <c r="L1391"/>
      <c r="M1391"/>
      <c r="N1391"/>
      <c r="O1391"/>
    </row>
    <row r="1392" spans="2:15" x14ac:dyDescent="0.2">
      <c r="B1392"/>
      <c r="C1392"/>
      <c r="D1392"/>
      <c r="E1392"/>
      <c r="F1392"/>
      <c r="G1392"/>
      <c r="H1392"/>
      <c r="I1392"/>
      <c r="J1392"/>
      <c r="K1392"/>
      <c r="L1392"/>
      <c r="M1392"/>
      <c r="N1392"/>
      <c r="O1392"/>
    </row>
    <row r="1393" spans="2:15" x14ac:dyDescent="0.2">
      <c r="B1393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</row>
    <row r="1394" spans="2:15" x14ac:dyDescent="0.2">
      <c r="B1394"/>
      <c r="C1394"/>
      <c r="D1394"/>
      <c r="E1394"/>
      <c r="F1394"/>
      <c r="G1394"/>
      <c r="H1394"/>
      <c r="I1394"/>
      <c r="J1394"/>
      <c r="K1394"/>
      <c r="L1394"/>
      <c r="M1394"/>
      <c r="N1394"/>
      <c r="O1394"/>
    </row>
    <row r="1395" spans="2:15" x14ac:dyDescent="0.2">
      <c r="B1395"/>
      <c r="C1395"/>
      <c r="D1395"/>
      <c r="E1395"/>
      <c r="F1395"/>
      <c r="G1395"/>
      <c r="H1395"/>
      <c r="I1395"/>
      <c r="J1395"/>
      <c r="K1395"/>
      <c r="L1395"/>
      <c r="M1395"/>
      <c r="N1395"/>
      <c r="O1395"/>
    </row>
    <row r="1396" spans="2:15" x14ac:dyDescent="0.2">
      <c r="B1396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</row>
    <row r="1397" spans="2:15" x14ac:dyDescent="0.2">
      <c r="B1397"/>
      <c r="C1397"/>
      <c r="D1397"/>
      <c r="E1397"/>
      <c r="F1397"/>
      <c r="G1397"/>
      <c r="H1397"/>
      <c r="I1397"/>
      <c r="J1397"/>
      <c r="K1397"/>
      <c r="L1397"/>
      <c r="M1397"/>
      <c r="N1397"/>
      <c r="O1397"/>
    </row>
    <row r="1398" spans="2:15" x14ac:dyDescent="0.2">
      <c r="B1398"/>
      <c r="C1398"/>
      <c r="D1398"/>
      <c r="E1398"/>
      <c r="F1398"/>
      <c r="G1398"/>
      <c r="H1398"/>
      <c r="I1398"/>
      <c r="J1398"/>
      <c r="K1398"/>
      <c r="L1398"/>
      <c r="M1398"/>
      <c r="N1398"/>
      <c r="O1398"/>
    </row>
    <row r="1399" spans="2:15" x14ac:dyDescent="0.2">
      <c r="B1399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</row>
    <row r="1400" spans="2:15" x14ac:dyDescent="0.2">
      <c r="B1400"/>
      <c r="C1400"/>
      <c r="D1400"/>
      <c r="E1400"/>
      <c r="F1400"/>
      <c r="G1400"/>
      <c r="H1400"/>
      <c r="I1400"/>
      <c r="J1400"/>
      <c r="K1400"/>
      <c r="L1400"/>
      <c r="M1400"/>
      <c r="N1400"/>
      <c r="O1400"/>
    </row>
    <row r="1401" spans="2:15" x14ac:dyDescent="0.2">
      <c r="B1401"/>
      <c r="C1401"/>
      <c r="D1401"/>
      <c r="E1401"/>
      <c r="F1401"/>
      <c r="G1401"/>
      <c r="H1401"/>
      <c r="I1401"/>
      <c r="J1401"/>
      <c r="K1401"/>
      <c r="L1401"/>
      <c r="M1401"/>
      <c r="N1401"/>
      <c r="O1401"/>
    </row>
    <row r="1402" spans="2:15" x14ac:dyDescent="0.2">
      <c r="B1402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</row>
    <row r="1403" spans="2:15" x14ac:dyDescent="0.2">
      <c r="B1403"/>
      <c r="C1403"/>
      <c r="D1403"/>
      <c r="E1403"/>
      <c r="F1403"/>
      <c r="G1403"/>
      <c r="H1403"/>
      <c r="I1403"/>
      <c r="J1403"/>
      <c r="K1403"/>
      <c r="L1403"/>
      <c r="M1403"/>
      <c r="N1403"/>
      <c r="O1403"/>
    </row>
    <row r="1404" spans="2:15" x14ac:dyDescent="0.2">
      <c r="B1404"/>
      <c r="C1404"/>
      <c r="D1404"/>
      <c r="E1404"/>
      <c r="F1404"/>
      <c r="G1404"/>
      <c r="H1404"/>
      <c r="I1404"/>
      <c r="J1404"/>
      <c r="K1404"/>
      <c r="L1404"/>
      <c r="M1404"/>
      <c r="N1404"/>
      <c r="O1404"/>
    </row>
    <row r="1405" spans="2:15" x14ac:dyDescent="0.2">
      <c r="B1405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</row>
    <row r="1406" spans="2:15" x14ac:dyDescent="0.2">
      <c r="B1406"/>
      <c r="C1406"/>
      <c r="D1406"/>
      <c r="E1406"/>
      <c r="F1406"/>
      <c r="G1406"/>
      <c r="H1406"/>
      <c r="I1406"/>
      <c r="J1406"/>
      <c r="K1406"/>
      <c r="L1406"/>
      <c r="M1406"/>
      <c r="N1406"/>
      <c r="O1406"/>
    </row>
    <row r="1407" spans="2:15" x14ac:dyDescent="0.2">
      <c r="B1407"/>
      <c r="C1407"/>
      <c r="D1407"/>
      <c r="E1407"/>
      <c r="F1407"/>
      <c r="G1407"/>
      <c r="H1407"/>
      <c r="I1407"/>
      <c r="J1407"/>
      <c r="K1407"/>
      <c r="L1407"/>
      <c r="M1407"/>
      <c r="N1407"/>
      <c r="O1407"/>
    </row>
    <row r="1408" spans="2:15" x14ac:dyDescent="0.2">
      <c r="B1408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</row>
    <row r="1409" spans="2:15" x14ac:dyDescent="0.2">
      <c r="B1409"/>
      <c r="C1409"/>
      <c r="D1409"/>
      <c r="E1409"/>
      <c r="F1409"/>
      <c r="G1409"/>
      <c r="H1409"/>
      <c r="I1409"/>
      <c r="J1409"/>
      <c r="K1409"/>
      <c r="L1409"/>
      <c r="M1409"/>
      <c r="N1409"/>
      <c r="O1409"/>
    </row>
    <row r="1410" spans="2:15" x14ac:dyDescent="0.2">
      <c r="B1410"/>
      <c r="C1410"/>
      <c r="D1410"/>
      <c r="E1410"/>
      <c r="F1410"/>
      <c r="G1410"/>
      <c r="H1410"/>
      <c r="I1410"/>
      <c r="J1410"/>
      <c r="K1410"/>
      <c r="L1410"/>
      <c r="M1410"/>
      <c r="N1410"/>
      <c r="O1410"/>
    </row>
    <row r="1411" spans="2:15" x14ac:dyDescent="0.2">
      <c r="B1411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</row>
    <row r="1412" spans="2:15" x14ac:dyDescent="0.2">
      <c r="B1412"/>
      <c r="C1412"/>
      <c r="D1412"/>
      <c r="E1412"/>
      <c r="F1412"/>
      <c r="G1412"/>
      <c r="H1412"/>
      <c r="I1412"/>
      <c r="J1412"/>
      <c r="K1412"/>
      <c r="L1412"/>
      <c r="M1412"/>
      <c r="N1412"/>
      <c r="O1412"/>
    </row>
    <row r="1413" spans="2:15" x14ac:dyDescent="0.2">
      <c r="B1413"/>
      <c r="C1413"/>
      <c r="D1413"/>
      <c r="E1413"/>
      <c r="F1413"/>
      <c r="G1413"/>
      <c r="H1413"/>
      <c r="I1413"/>
      <c r="J1413"/>
      <c r="K1413"/>
      <c r="L1413"/>
      <c r="M1413"/>
      <c r="N1413"/>
      <c r="O1413"/>
    </row>
    <row r="1414" spans="2:15" x14ac:dyDescent="0.2">
      <c r="B1414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</row>
    <row r="1415" spans="2:15" x14ac:dyDescent="0.2">
      <c r="B1415"/>
      <c r="C1415"/>
      <c r="D1415"/>
      <c r="E1415"/>
      <c r="F1415"/>
      <c r="G1415"/>
      <c r="H1415"/>
      <c r="I1415"/>
      <c r="J1415"/>
      <c r="K1415"/>
      <c r="L1415"/>
      <c r="M1415"/>
      <c r="N1415"/>
      <c r="O1415"/>
    </row>
    <row r="1416" spans="2:15" x14ac:dyDescent="0.2">
      <c r="B1416"/>
      <c r="C1416"/>
      <c r="D1416"/>
      <c r="E1416"/>
      <c r="F1416"/>
      <c r="G1416"/>
      <c r="H1416"/>
      <c r="I1416"/>
      <c r="J1416"/>
      <c r="K1416"/>
      <c r="L1416"/>
      <c r="M1416"/>
      <c r="N1416"/>
      <c r="O1416"/>
    </row>
    <row r="1417" spans="2:15" x14ac:dyDescent="0.2">
      <c r="B14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</row>
    <row r="1418" spans="2:15" x14ac:dyDescent="0.2">
      <c r="B1418"/>
      <c r="C1418"/>
      <c r="D1418"/>
      <c r="E1418"/>
      <c r="F1418"/>
      <c r="G1418"/>
      <c r="H1418"/>
      <c r="I1418"/>
      <c r="J1418"/>
      <c r="K1418"/>
      <c r="L1418"/>
      <c r="M1418"/>
      <c r="N1418"/>
      <c r="O1418"/>
    </row>
    <row r="1419" spans="2:15" x14ac:dyDescent="0.2">
      <c r="B1419"/>
      <c r="C1419"/>
      <c r="D1419"/>
      <c r="E1419"/>
      <c r="F1419"/>
      <c r="G1419"/>
      <c r="H1419"/>
      <c r="I1419"/>
      <c r="J1419"/>
      <c r="K1419"/>
      <c r="L1419"/>
      <c r="M1419"/>
      <c r="N1419"/>
      <c r="O1419"/>
    </row>
    <row r="1420" spans="2:15" x14ac:dyDescent="0.2">
      <c r="B1420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</row>
    <row r="1421" spans="2:15" x14ac:dyDescent="0.2">
      <c r="B1421"/>
      <c r="C1421"/>
      <c r="D1421"/>
      <c r="E1421"/>
      <c r="F1421"/>
      <c r="G1421"/>
      <c r="H1421"/>
      <c r="I1421"/>
      <c r="J1421"/>
      <c r="K1421"/>
      <c r="L1421"/>
      <c r="M1421"/>
      <c r="N1421"/>
      <c r="O1421"/>
    </row>
    <row r="1422" spans="2:15" x14ac:dyDescent="0.2">
      <c r="B1422"/>
      <c r="C1422"/>
      <c r="D1422"/>
      <c r="E1422"/>
      <c r="F1422"/>
      <c r="G1422"/>
      <c r="H1422"/>
      <c r="I1422"/>
      <c r="J1422"/>
      <c r="K1422"/>
      <c r="L1422"/>
      <c r="M1422"/>
      <c r="N1422"/>
      <c r="O1422"/>
    </row>
    <row r="1423" spans="2:15" x14ac:dyDescent="0.2">
      <c r="B1423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</row>
    <row r="1424" spans="2:15" x14ac:dyDescent="0.2">
      <c r="B1424"/>
      <c r="C1424"/>
      <c r="D1424"/>
      <c r="E1424"/>
      <c r="F1424"/>
      <c r="G1424"/>
      <c r="H1424"/>
      <c r="I1424"/>
      <c r="J1424"/>
      <c r="K1424"/>
      <c r="L1424"/>
      <c r="M1424"/>
      <c r="N1424"/>
      <c r="O1424"/>
    </row>
    <row r="1425" spans="2:15" x14ac:dyDescent="0.2">
      <c r="B1425"/>
      <c r="C1425"/>
      <c r="D1425"/>
      <c r="E1425"/>
      <c r="F1425"/>
      <c r="G1425"/>
      <c r="H1425"/>
      <c r="I1425"/>
      <c r="J1425"/>
      <c r="K1425"/>
      <c r="L1425"/>
      <c r="M1425"/>
      <c r="N1425"/>
      <c r="O1425"/>
    </row>
    <row r="1426" spans="2:15" x14ac:dyDescent="0.2">
      <c r="B1426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</row>
    <row r="1427" spans="2:15" x14ac:dyDescent="0.2">
      <c r="B1427"/>
      <c r="C1427"/>
      <c r="D1427"/>
      <c r="E1427"/>
      <c r="F1427"/>
      <c r="G1427"/>
      <c r="H1427"/>
      <c r="I1427"/>
      <c r="J1427"/>
      <c r="K1427"/>
      <c r="L1427"/>
      <c r="M1427"/>
      <c r="N1427"/>
      <c r="O1427"/>
    </row>
    <row r="1428" spans="2:15" x14ac:dyDescent="0.2">
      <c r="B1428"/>
      <c r="C1428"/>
      <c r="D1428"/>
      <c r="E1428"/>
      <c r="F1428"/>
      <c r="G1428"/>
      <c r="H1428"/>
      <c r="I1428"/>
      <c r="J1428"/>
      <c r="K1428"/>
      <c r="L1428"/>
      <c r="M1428"/>
      <c r="N1428"/>
      <c r="O1428"/>
    </row>
    <row r="1429" spans="2:15" x14ac:dyDescent="0.2">
      <c r="B1429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</row>
    <row r="1430" spans="2:15" x14ac:dyDescent="0.2">
      <c r="B1430"/>
      <c r="C1430"/>
      <c r="D1430"/>
      <c r="E1430"/>
      <c r="F1430"/>
      <c r="G1430"/>
      <c r="H1430"/>
      <c r="I1430"/>
      <c r="J1430"/>
      <c r="K1430"/>
      <c r="L1430"/>
      <c r="M1430"/>
      <c r="N1430"/>
      <c r="O1430"/>
    </row>
    <row r="1431" spans="2:15" x14ac:dyDescent="0.2">
      <c r="B1431"/>
      <c r="C1431"/>
      <c r="D1431"/>
      <c r="E1431"/>
      <c r="F1431"/>
      <c r="G1431"/>
      <c r="H1431"/>
      <c r="I1431"/>
      <c r="J1431"/>
      <c r="K1431"/>
      <c r="L1431"/>
      <c r="M1431"/>
      <c r="N1431"/>
      <c r="O1431"/>
    </row>
    <row r="1432" spans="2:15" x14ac:dyDescent="0.2">
      <c r="B1432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</row>
    <row r="1433" spans="2:15" x14ac:dyDescent="0.2">
      <c r="B1433"/>
      <c r="C1433"/>
      <c r="D1433"/>
      <c r="E1433"/>
      <c r="F1433"/>
      <c r="G1433"/>
      <c r="H1433"/>
      <c r="I1433"/>
      <c r="J1433"/>
      <c r="K1433"/>
      <c r="L1433"/>
      <c r="M1433"/>
      <c r="N1433"/>
      <c r="O1433"/>
    </row>
    <row r="1434" spans="2:15" x14ac:dyDescent="0.2">
      <c r="B1434"/>
      <c r="C1434"/>
      <c r="D1434"/>
      <c r="E1434"/>
      <c r="F1434"/>
      <c r="G1434"/>
      <c r="H1434"/>
      <c r="I1434"/>
      <c r="J1434"/>
      <c r="K1434"/>
      <c r="L1434"/>
      <c r="M1434"/>
      <c r="N1434"/>
      <c r="O1434"/>
    </row>
    <row r="1435" spans="2:15" x14ac:dyDescent="0.2">
      <c r="B1435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</row>
    <row r="1436" spans="2:15" x14ac:dyDescent="0.2">
      <c r="B1436"/>
      <c r="C1436"/>
      <c r="D1436"/>
      <c r="E1436"/>
      <c r="F1436"/>
      <c r="G1436"/>
      <c r="H1436"/>
      <c r="I1436"/>
      <c r="J1436"/>
      <c r="K1436"/>
      <c r="L1436"/>
      <c r="M1436"/>
      <c r="N1436"/>
      <c r="O1436"/>
    </row>
    <row r="1437" spans="2:15" x14ac:dyDescent="0.2">
      <c r="B1437"/>
      <c r="C1437"/>
      <c r="D1437"/>
      <c r="E1437"/>
      <c r="F1437"/>
      <c r="G1437"/>
      <c r="H1437"/>
      <c r="I1437"/>
      <c r="J1437"/>
      <c r="K1437"/>
      <c r="L1437"/>
      <c r="M1437"/>
      <c r="N1437"/>
      <c r="O1437"/>
    </row>
    <row r="1438" spans="2:15" x14ac:dyDescent="0.2">
      <c r="B1438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</row>
    <row r="1439" spans="2:15" x14ac:dyDescent="0.2">
      <c r="B1439"/>
      <c r="C1439"/>
      <c r="D1439"/>
      <c r="E1439"/>
      <c r="F1439"/>
      <c r="G1439"/>
      <c r="H1439"/>
      <c r="I1439"/>
      <c r="J1439"/>
      <c r="K1439"/>
      <c r="L1439"/>
      <c r="M1439"/>
      <c r="N1439"/>
      <c r="O1439"/>
    </row>
    <row r="1440" spans="2:15" x14ac:dyDescent="0.2">
      <c r="B1440"/>
      <c r="C1440"/>
      <c r="D1440"/>
      <c r="E1440"/>
      <c r="F1440"/>
      <c r="G1440"/>
      <c r="H1440"/>
      <c r="I1440"/>
      <c r="J1440"/>
      <c r="K1440"/>
      <c r="L1440"/>
      <c r="M1440"/>
      <c r="N1440"/>
      <c r="O1440"/>
    </row>
    <row r="1441" spans="2:15" x14ac:dyDescent="0.2">
      <c r="B1441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</row>
    <row r="1442" spans="2:15" x14ac:dyDescent="0.2">
      <c r="B1442"/>
      <c r="C1442"/>
      <c r="D1442"/>
      <c r="E1442"/>
      <c r="F1442"/>
      <c r="G1442"/>
      <c r="H1442"/>
      <c r="I1442"/>
      <c r="J1442"/>
      <c r="K1442"/>
      <c r="L1442"/>
      <c r="M1442"/>
      <c r="N1442"/>
      <c r="O1442"/>
    </row>
    <row r="1443" spans="2:15" x14ac:dyDescent="0.2">
      <c r="B1443"/>
      <c r="C1443"/>
      <c r="D1443"/>
      <c r="E1443"/>
      <c r="F1443"/>
      <c r="G1443"/>
      <c r="H1443"/>
      <c r="I1443"/>
      <c r="J1443"/>
      <c r="K1443"/>
      <c r="L1443"/>
      <c r="M1443"/>
      <c r="N1443"/>
      <c r="O1443"/>
    </row>
    <row r="1444" spans="2:15" x14ac:dyDescent="0.2">
      <c r="B1444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</row>
    <row r="1445" spans="2:15" x14ac:dyDescent="0.2">
      <c r="B1445"/>
      <c r="C1445"/>
      <c r="D1445"/>
      <c r="E1445"/>
      <c r="F1445"/>
      <c r="G1445"/>
      <c r="H1445"/>
      <c r="I1445"/>
      <c r="J1445"/>
      <c r="K1445"/>
      <c r="L1445"/>
      <c r="M1445"/>
      <c r="N1445"/>
      <c r="O1445"/>
    </row>
    <row r="1446" spans="2:15" x14ac:dyDescent="0.2">
      <c r="B1446"/>
      <c r="C1446"/>
      <c r="D1446"/>
      <c r="E1446"/>
      <c r="F1446"/>
      <c r="G1446"/>
      <c r="H1446"/>
      <c r="I1446"/>
      <c r="J1446"/>
      <c r="K1446"/>
      <c r="L1446"/>
      <c r="M1446"/>
      <c r="N1446"/>
      <c r="O1446"/>
    </row>
    <row r="1447" spans="2:15" x14ac:dyDescent="0.2">
      <c r="B144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</row>
    <row r="1448" spans="2:15" x14ac:dyDescent="0.2">
      <c r="B1448"/>
      <c r="C1448"/>
      <c r="D1448"/>
      <c r="E1448"/>
      <c r="F1448"/>
      <c r="G1448"/>
      <c r="H1448"/>
      <c r="I1448"/>
      <c r="J1448"/>
      <c r="K1448"/>
      <c r="L1448"/>
      <c r="M1448"/>
      <c r="N1448"/>
      <c r="O1448"/>
    </row>
    <row r="1449" spans="2:15" x14ac:dyDescent="0.2">
      <c r="B1449"/>
      <c r="C1449"/>
      <c r="D1449"/>
      <c r="E1449"/>
      <c r="F1449"/>
      <c r="G1449"/>
      <c r="H1449"/>
      <c r="I1449"/>
      <c r="J1449"/>
      <c r="K1449"/>
      <c r="L1449"/>
      <c r="M1449"/>
      <c r="N1449"/>
      <c r="O1449"/>
    </row>
    <row r="1450" spans="2:15" x14ac:dyDescent="0.2">
      <c r="B1450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</row>
    <row r="1451" spans="2:15" x14ac:dyDescent="0.2">
      <c r="B1451"/>
      <c r="C1451"/>
      <c r="D1451"/>
      <c r="E1451"/>
      <c r="F1451"/>
      <c r="G1451"/>
      <c r="H1451"/>
      <c r="I1451"/>
      <c r="J1451"/>
      <c r="K1451"/>
      <c r="L1451"/>
      <c r="M1451"/>
      <c r="N1451"/>
      <c r="O1451"/>
    </row>
    <row r="1452" spans="2:15" x14ac:dyDescent="0.2">
      <c r="B1452"/>
      <c r="C1452"/>
      <c r="D1452"/>
      <c r="E1452"/>
      <c r="F1452"/>
      <c r="G1452"/>
      <c r="H1452"/>
      <c r="I1452"/>
      <c r="J1452"/>
      <c r="K1452"/>
      <c r="L1452"/>
      <c r="M1452"/>
      <c r="N1452"/>
      <c r="O1452"/>
    </row>
    <row r="1453" spans="2:15" x14ac:dyDescent="0.2">
      <c r="B1453"/>
      <c r="C1453"/>
      <c r="D1453"/>
      <c r="E1453"/>
      <c r="F1453"/>
      <c r="G1453"/>
      <c r="H1453"/>
      <c r="I1453"/>
      <c r="J1453"/>
      <c r="K1453"/>
      <c r="L1453"/>
      <c r="M1453"/>
      <c r="N1453"/>
      <c r="O1453"/>
    </row>
    <row r="1454" spans="2:15" x14ac:dyDescent="0.2">
      <c r="B1454"/>
      <c r="C1454"/>
      <c r="D1454"/>
      <c r="E1454"/>
      <c r="F1454"/>
      <c r="G1454"/>
      <c r="H1454"/>
      <c r="I1454"/>
      <c r="J1454"/>
      <c r="K1454"/>
      <c r="L1454"/>
      <c r="M1454"/>
      <c r="N1454"/>
      <c r="O1454"/>
    </row>
    <row r="1455" spans="2:15" x14ac:dyDescent="0.2">
      <c r="B1455"/>
      <c r="C1455"/>
      <c r="D1455"/>
      <c r="E1455"/>
      <c r="F1455"/>
      <c r="G1455"/>
      <c r="H1455"/>
      <c r="I1455"/>
      <c r="J1455"/>
      <c r="K1455"/>
      <c r="L1455"/>
      <c r="M1455"/>
      <c r="N1455"/>
      <c r="O1455"/>
    </row>
    <row r="1456" spans="2:15" x14ac:dyDescent="0.2">
      <c r="B1456"/>
      <c r="C1456"/>
      <c r="D1456"/>
      <c r="E1456"/>
      <c r="F1456"/>
      <c r="G1456"/>
      <c r="H1456"/>
      <c r="I1456"/>
      <c r="J1456"/>
      <c r="K1456"/>
      <c r="L1456"/>
      <c r="M1456"/>
      <c r="N1456"/>
      <c r="O1456"/>
    </row>
    <row r="1457" spans="2:15" x14ac:dyDescent="0.2">
      <c r="B1457"/>
      <c r="C1457"/>
      <c r="D1457"/>
      <c r="E1457"/>
      <c r="F1457"/>
      <c r="G1457"/>
      <c r="H1457"/>
      <c r="I1457"/>
      <c r="J1457"/>
      <c r="K1457"/>
      <c r="L1457"/>
      <c r="M1457"/>
      <c r="N1457"/>
      <c r="O1457"/>
    </row>
    <row r="1458" spans="2:15" x14ac:dyDescent="0.2">
      <c r="B1458"/>
      <c r="C1458"/>
      <c r="D1458"/>
      <c r="E1458"/>
      <c r="F1458"/>
      <c r="G1458"/>
      <c r="H1458"/>
      <c r="I1458"/>
      <c r="J1458"/>
      <c r="K1458"/>
      <c r="L1458"/>
      <c r="M1458"/>
      <c r="N1458"/>
      <c r="O1458"/>
    </row>
    <row r="1459" spans="2:15" x14ac:dyDescent="0.2">
      <c r="B1459"/>
      <c r="C1459"/>
      <c r="D1459"/>
      <c r="E1459"/>
      <c r="F1459"/>
      <c r="G1459"/>
      <c r="H1459"/>
      <c r="I1459"/>
      <c r="J1459"/>
      <c r="K1459"/>
      <c r="L1459"/>
      <c r="M1459"/>
      <c r="N1459"/>
      <c r="O1459"/>
    </row>
    <row r="1460" spans="2:15" x14ac:dyDescent="0.2">
      <c r="B1460"/>
      <c r="C1460"/>
      <c r="D1460"/>
      <c r="E1460"/>
      <c r="F1460"/>
      <c r="G1460"/>
      <c r="H1460"/>
      <c r="I1460"/>
      <c r="J1460"/>
      <c r="K1460"/>
      <c r="L1460"/>
      <c r="M1460"/>
      <c r="N1460"/>
      <c r="O1460"/>
    </row>
    <row r="1461" spans="2:15" x14ac:dyDescent="0.2">
      <c r="B1461"/>
      <c r="C1461"/>
      <c r="D1461"/>
      <c r="E1461"/>
      <c r="F1461"/>
      <c r="G1461"/>
      <c r="H1461"/>
      <c r="I1461"/>
      <c r="J1461"/>
      <c r="K1461"/>
      <c r="L1461"/>
      <c r="M1461"/>
      <c r="N1461"/>
      <c r="O1461"/>
    </row>
    <row r="1462" spans="2:15" x14ac:dyDescent="0.2">
      <c r="B1462"/>
      <c r="C1462"/>
      <c r="D1462"/>
      <c r="E1462"/>
      <c r="F1462"/>
      <c r="G1462"/>
      <c r="H1462"/>
      <c r="I1462"/>
      <c r="J1462"/>
      <c r="K1462"/>
      <c r="L1462"/>
      <c r="M1462"/>
      <c r="N1462"/>
      <c r="O1462"/>
    </row>
    <row r="1463" spans="2:15" x14ac:dyDescent="0.2">
      <c r="B1463"/>
      <c r="C1463"/>
      <c r="D1463"/>
      <c r="E1463"/>
      <c r="F1463"/>
      <c r="G1463"/>
      <c r="H1463"/>
      <c r="I1463"/>
      <c r="J1463"/>
      <c r="K1463"/>
      <c r="L1463"/>
      <c r="M1463"/>
      <c r="N1463"/>
      <c r="O1463"/>
    </row>
    <row r="1464" spans="2:15" x14ac:dyDescent="0.2">
      <c r="B1464"/>
      <c r="C1464"/>
      <c r="D1464"/>
      <c r="E1464"/>
      <c r="F1464"/>
      <c r="G1464"/>
      <c r="H1464"/>
      <c r="I1464"/>
      <c r="J1464"/>
      <c r="K1464"/>
      <c r="L1464"/>
      <c r="M1464"/>
      <c r="N1464"/>
      <c r="O1464"/>
    </row>
    <row r="1465" spans="2:15" x14ac:dyDescent="0.2">
      <c r="B1465"/>
      <c r="C1465"/>
      <c r="D1465"/>
      <c r="E1465"/>
      <c r="F1465"/>
      <c r="G1465"/>
      <c r="H1465"/>
      <c r="I1465"/>
      <c r="J1465"/>
      <c r="K1465"/>
      <c r="L1465"/>
      <c r="M1465"/>
      <c r="N1465"/>
      <c r="O1465"/>
    </row>
    <row r="1466" spans="2:15" x14ac:dyDescent="0.2">
      <c r="B1466"/>
      <c r="C1466"/>
      <c r="D1466"/>
      <c r="E1466"/>
      <c r="F1466"/>
      <c r="G1466"/>
      <c r="H1466"/>
      <c r="I1466"/>
      <c r="J1466"/>
      <c r="K1466"/>
      <c r="L1466"/>
      <c r="M1466"/>
      <c r="N1466"/>
      <c r="O1466"/>
    </row>
    <row r="1467" spans="2:15" x14ac:dyDescent="0.2">
      <c r="B1467"/>
      <c r="C1467"/>
      <c r="D1467"/>
      <c r="E1467"/>
      <c r="F1467"/>
      <c r="G1467"/>
      <c r="H1467"/>
      <c r="I1467"/>
      <c r="J1467"/>
      <c r="K1467"/>
      <c r="L1467"/>
      <c r="M1467"/>
      <c r="N1467"/>
      <c r="O1467"/>
    </row>
    <row r="1468" spans="2:15" x14ac:dyDescent="0.2">
      <c r="B1468"/>
      <c r="C1468"/>
      <c r="D1468"/>
      <c r="E1468"/>
      <c r="F1468"/>
      <c r="G1468"/>
      <c r="H1468"/>
      <c r="I1468"/>
      <c r="J1468"/>
      <c r="K1468"/>
      <c r="L1468"/>
      <c r="M1468"/>
      <c r="N1468"/>
      <c r="O1468"/>
    </row>
    <row r="1469" spans="2:15" x14ac:dyDescent="0.2">
      <c r="B1469"/>
      <c r="C1469"/>
      <c r="D1469"/>
      <c r="E1469"/>
      <c r="F1469"/>
      <c r="G1469"/>
      <c r="H1469"/>
      <c r="I1469"/>
      <c r="J1469"/>
      <c r="K1469"/>
      <c r="L1469"/>
      <c r="M1469"/>
      <c r="N1469"/>
      <c r="O1469"/>
    </row>
    <row r="1470" spans="2:15" x14ac:dyDescent="0.2">
      <c r="B1470"/>
      <c r="C1470"/>
      <c r="D1470"/>
      <c r="E1470"/>
      <c r="F1470"/>
      <c r="G1470"/>
      <c r="H1470"/>
      <c r="I1470"/>
      <c r="J1470"/>
      <c r="K1470"/>
      <c r="L1470"/>
      <c r="M1470"/>
      <c r="N1470"/>
      <c r="O1470"/>
    </row>
    <row r="1471" spans="2:15" x14ac:dyDescent="0.2">
      <c r="B1471"/>
      <c r="C1471"/>
      <c r="D1471"/>
      <c r="E1471"/>
      <c r="F1471"/>
      <c r="G1471"/>
      <c r="H1471"/>
      <c r="I1471"/>
      <c r="J1471"/>
      <c r="K1471"/>
      <c r="L1471"/>
      <c r="M1471"/>
      <c r="N1471"/>
      <c r="O1471"/>
    </row>
    <row r="1472" spans="2:15" x14ac:dyDescent="0.2">
      <c r="B1472"/>
      <c r="C1472"/>
      <c r="D1472"/>
      <c r="E1472"/>
      <c r="F1472"/>
      <c r="G1472"/>
      <c r="H1472"/>
      <c r="I1472"/>
      <c r="J1472"/>
      <c r="K1472"/>
      <c r="L1472"/>
      <c r="M1472"/>
      <c r="N1472"/>
      <c r="O1472"/>
    </row>
    <row r="1473" spans="2:15" x14ac:dyDescent="0.2">
      <c r="B1473"/>
      <c r="C1473"/>
      <c r="D1473"/>
      <c r="E1473"/>
      <c r="F1473"/>
      <c r="G1473"/>
      <c r="H1473"/>
      <c r="I1473"/>
      <c r="J1473"/>
      <c r="K1473"/>
      <c r="L1473"/>
      <c r="M1473"/>
      <c r="N1473"/>
      <c r="O1473"/>
    </row>
    <row r="1474" spans="2:15" x14ac:dyDescent="0.2">
      <c r="B1474"/>
      <c r="C1474"/>
      <c r="D1474"/>
      <c r="E1474"/>
      <c r="F1474"/>
      <c r="G1474"/>
      <c r="H1474"/>
      <c r="I1474"/>
      <c r="J1474"/>
      <c r="K1474"/>
      <c r="L1474"/>
      <c r="M1474"/>
      <c r="N1474"/>
      <c r="O1474"/>
    </row>
    <row r="1475" spans="2:15" x14ac:dyDescent="0.2">
      <c r="B1475"/>
      <c r="C1475"/>
      <c r="D1475"/>
      <c r="E1475"/>
      <c r="F1475"/>
      <c r="G1475"/>
      <c r="H1475"/>
      <c r="I1475"/>
      <c r="J1475"/>
      <c r="K1475"/>
      <c r="L1475"/>
      <c r="M1475"/>
      <c r="N1475"/>
      <c r="O1475"/>
    </row>
    <row r="1476" spans="2:15" x14ac:dyDescent="0.2">
      <c r="B1476"/>
      <c r="C1476"/>
      <c r="D1476"/>
      <c r="E1476"/>
      <c r="F1476"/>
      <c r="G1476"/>
      <c r="H1476"/>
      <c r="I1476"/>
      <c r="J1476"/>
      <c r="K1476"/>
      <c r="L1476"/>
      <c r="M1476"/>
      <c r="N1476"/>
      <c r="O1476"/>
    </row>
    <row r="1477" spans="2:15" x14ac:dyDescent="0.2">
      <c r="B1477"/>
      <c r="C1477"/>
      <c r="D1477"/>
      <c r="E1477"/>
      <c r="F1477"/>
      <c r="G1477"/>
      <c r="H1477"/>
      <c r="I1477"/>
      <c r="J1477"/>
      <c r="K1477"/>
      <c r="L1477"/>
      <c r="M1477"/>
      <c r="N1477"/>
      <c r="O1477"/>
    </row>
    <row r="1478" spans="2:15" x14ac:dyDescent="0.2">
      <c r="B1478"/>
      <c r="C1478"/>
      <c r="D1478"/>
      <c r="E1478"/>
      <c r="F1478"/>
      <c r="G1478"/>
      <c r="H1478"/>
      <c r="I1478"/>
      <c r="J1478"/>
      <c r="K1478"/>
      <c r="L1478"/>
      <c r="M1478"/>
      <c r="N1478"/>
      <c r="O1478"/>
    </row>
    <row r="1479" spans="2:15" x14ac:dyDescent="0.2">
      <c r="B1479"/>
      <c r="C1479"/>
      <c r="D1479"/>
      <c r="E1479"/>
      <c r="F1479"/>
      <c r="G1479"/>
      <c r="H1479"/>
      <c r="I1479"/>
      <c r="J1479"/>
      <c r="K1479"/>
      <c r="L1479"/>
      <c r="M1479"/>
      <c r="N1479"/>
      <c r="O1479"/>
    </row>
    <row r="1480" spans="2:15" x14ac:dyDescent="0.2">
      <c r="B1480"/>
      <c r="C1480"/>
      <c r="D1480"/>
      <c r="E1480"/>
      <c r="F1480"/>
      <c r="G1480"/>
      <c r="H1480"/>
      <c r="I1480"/>
      <c r="J1480"/>
      <c r="K1480"/>
      <c r="L1480"/>
      <c r="M1480"/>
      <c r="N1480"/>
      <c r="O1480"/>
    </row>
    <row r="1481" spans="2:15" x14ac:dyDescent="0.2">
      <c r="B1481"/>
      <c r="C1481"/>
      <c r="D1481"/>
      <c r="E1481"/>
      <c r="F1481"/>
      <c r="G1481"/>
      <c r="H1481"/>
      <c r="I1481"/>
      <c r="J1481"/>
      <c r="K1481"/>
      <c r="L1481"/>
      <c r="M1481"/>
      <c r="N1481"/>
      <c r="O1481"/>
    </row>
    <row r="1482" spans="2:15" x14ac:dyDescent="0.2">
      <c r="B1482"/>
      <c r="C1482"/>
      <c r="D1482"/>
      <c r="E1482"/>
      <c r="F1482"/>
      <c r="G1482"/>
      <c r="H1482"/>
      <c r="I1482"/>
      <c r="J1482"/>
      <c r="K1482"/>
      <c r="L1482"/>
      <c r="M1482"/>
      <c r="N1482"/>
      <c r="O1482"/>
    </row>
    <row r="1483" spans="2:15" x14ac:dyDescent="0.2">
      <c r="B1483"/>
      <c r="C1483"/>
      <c r="D1483"/>
      <c r="E1483"/>
      <c r="F1483"/>
      <c r="G1483"/>
      <c r="H1483"/>
      <c r="I1483"/>
      <c r="J1483"/>
      <c r="K1483"/>
      <c r="L1483"/>
      <c r="M1483"/>
      <c r="N1483"/>
      <c r="O1483"/>
    </row>
    <row r="1484" spans="2:15" x14ac:dyDescent="0.2">
      <c r="B1484"/>
      <c r="C1484"/>
      <c r="D1484"/>
      <c r="E1484"/>
      <c r="F1484"/>
      <c r="G1484"/>
      <c r="H1484"/>
      <c r="I1484"/>
      <c r="J1484"/>
      <c r="K1484"/>
      <c r="L1484"/>
      <c r="M1484"/>
      <c r="N1484"/>
      <c r="O1484"/>
    </row>
    <row r="1485" spans="2:15" x14ac:dyDescent="0.2">
      <c r="B1485"/>
      <c r="C1485"/>
      <c r="D1485"/>
      <c r="E1485"/>
      <c r="F1485"/>
      <c r="G1485"/>
      <c r="H1485"/>
      <c r="I1485"/>
      <c r="J1485"/>
      <c r="K1485"/>
      <c r="L1485"/>
      <c r="M1485"/>
      <c r="N1485"/>
      <c r="O1485"/>
    </row>
    <row r="1486" spans="2:15" x14ac:dyDescent="0.2">
      <c r="B1486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</row>
    <row r="1487" spans="2:15" x14ac:dyDescent="0.2">
      <c r="B1487"/>
      <c r="C1487"/>
      <c r="D1487"/>
      <c r="E1487"/>
      <c r="F1487"/>
      <c r="G1487"/>
      <c r="H1487"/>
      <c r="I1487"/>
      <c r="J1487"/>
      <c r="K1487"/>
      <c r="L1487"/>
      <c r="M1487"/>
      <c r="N1487"/>
      <c r="O1487"/>
    </row>
    <row r="1488" spans="2:15" x14ac:dyDescent="0.2">
      <c r="B1488"/>
      <c r="C1488"/>
      <c r="D1488"/>
      <c r="E1488"/>
      <c r="F1488"/>
      <c r="G1488"/>
      <c r="H1488"/>
      <c r="I1488"/>
      <c r="J1488"/>
      <c r="K1488"/>
      <c r="L1488"/>
      <c r="M1488"/>
      <c r="N1488"/>
      <c r="O1488"/>
    </row>
    <row r="1489" spans="2:15" x14ac:dyDescent="0.2">
      <c r="B1489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</row>
    <row r="1490" spans="2:15" x14ac:dyDescent="0.2">
      <c r="B1490"/>
      <c r="C1490"/>
      <c r="D1490"/>
      <c r="E1490"/>
      <c r="F1490"/>
      <c r="G1490"/>
      <c r="H1490"/>
      <c r="I1490"/>
      <c r="J1490"/>
      <c r="K1490"/>
      <c r="L1490"/>
      <c r="M1490"/>
      <c r="N1490"/>
      <c r="O1490"/>
    </row>
    <row r="1491" spans="2:15" x14ac:dyDescent="0.2">
      <c r="B1491"/>
      <c r="C1491"/>
      <c r="D1491"/>
      <c r="E1491"/>
      <c r="F1491"/>
      <c r="G1491"/>
      <c r="H1491"/>
      <c r="I1491"/>
      <c r="J1491"/>
      <c r="K1491"/>
      <c r="L1491"/>
      <c r="M1491"/>
      <c r="N1491"/>
      <c r="O1491"/>
    </row>
    <row r="1492" spans="2:15" x14ac:dyDescent="0.2">
      <c r="B1492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</row>
    <row r="1493" spans="2:15" x14ac:dyDescent="0.2">
      <c r="B1493"/>
      <c r="C1493"/>
      <c r="D1493"/>
      <c r="E1493"/>
      <c r="F1493"/>
      <c r="G1493"/>
      <c r="H1493"/>
      <c r="I1493"/>
      <c r="J1493"/>
      <c r="K1493"/>
      <c r="L1493"/>
      <c r="M1493"/>
      <c r="N1493"/>
      <c r="O1493"/>
    </row>
    <row r="1494" spans="2:15" x14ac:dyDescent="0.2">
      <c r="B1494"/>
      <c r="C1494"/>
      <c r="D1494"/>
      <c r="E1494"/>
      <c r="F1494"/>
      <c r="G1494"/>
      <c r="H1494"/>
      <c r="I1494"/>
      <c r="J1494"/>
      <c r="K1494"/>
      <c r="L1494"/>
      <c r="M1494"/>
      <c r="N1494"/>
      <c r="O1494"/>
    </row>
    <row r="1495" spans="2:15" x14ac:dyDescent="0.2">
      <c r="B1495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</row>
    <row r="1496" spans="2:15" x14ac:dyDescent="0.2">
      <c r="B1496"/>
      <c r="C1496"/>
      <c r="D1496"/>
      <c r="E1496"/>
      <c r="F1496"/>
      <c r="G1496"/>
      <c r="H1496"/>
      <c r="I1496"/>
      <c r="J1496"/>
      <c r="K1496"/>
      <c r="L1496"/>
      <c r="M1496"/>
      <c r="N1496"/>
      <c r="O1496"/>
    </row>
    <row r="1497" spans="2:15" x14ac:dyDescent="0.2">
      <c r="B1497"/>
      <c r="C1497"/>
      <c r="D1497"/>
      <c r="E1497"/>
      <c r="F1497"/>
      <c r="G1497"/>
      <c r="H1497"/>
      <c r="I1497"/>
      <c r="J1497"/>
      <c r="K1497"/>
      <c r="L1497"/>
      <c r="M1497"/>
      <c r="N1497"/>
      <c r="O1497"/>
    </row>
    <row r="1498" spans="2:15" x14ac:dyDescent="0.2">
      <c r="B1498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</row>
    <row r="1499" spans="2:15" x14ac:dyDescent="0.2">
      <c r="B1499"/>
      <c r="C1499"/>
      <c r="D1499"/>
      <c r="E1499"/>
      <c r="F1499"/>
      <c r="G1499"/>
      <c r="H1499"/>
      <c r="I1499"/>
      <c r="J1499"/>
      <c r="K1499"/>
      <c r="L1499"/>
      <c r="M1499"/>
      <c r="N1499"/>
      <c r="O1499"/>
    </row>
    <row r="1500" spans="2:15" x14ac:dyDescent="0.2">
      <c r="B1500"/>
      <c r="C1500"/>
      <c r="D1500"/>
      <c r="E1500"/>
      <c r="F1500"/>
      <c r="G1500"/>
      <c r="H1500"/>
      <c r="I1500"/>
      <c r="J1500"/>
      <c r="K1500"/>
      <c r="L1500"/>
      <c r="M1500"/>
      <c r="N1500"/>
      <c r="O1500"/>
    </row>
    <row r="1501" spans="2:15" x14ac:dyDescent="0.2">
      <c r="B1501"/>
      <c r="C1501"/>
      <c r="D1501"/>
      <c r="E1501"/>
      <c r="F1501"/>
      <c r="G1501"/>
      <c r="H1501"/>
      <c r="I1501"/>
      <c r="J1501"/>
      <c r="K1501"/>
      <c r="L1501"/>
      <c r="M1501"/>
      <c r="N1501"/>
      <c r="O1501"/>
    </row>
    <row r="1502" spans="2:15" x14ac:dyDescent="0.2">
      <c r="B1502"/>
      <c r="C1502"/>
      <c r="D1502"/>
      <c r="E1502"/>
      <c r="F1502"/>
      <c r="G1502"/>
      <c r="H1502"/>
      <c r="I1502"/>
      <c r="J1502"/>
      <c r="K1502"/>
      <c r="L1502"/>
      <c r="M1502"/>
      <c r="N1502"/>
      <c r="O1502"/>
    </row>
    <row r="1503" spans="2:15" x14ac:dyDescent="0.2">
      <c r="B1503"/>
      <c r="C1503"/>
      <c r="D1503"/>
      <c r="E1503"/>
      <c r="F1503"/>
      <c r="G1503"/>
      <c r="H1503"/>
      <c r="I1503"/>
      <c r="J1503"/>
      <c r="K1503"/>
      <c r="L1503"/>
      <c r="M1503"/>
      <c r="N1503"/>
      <c r="O1503"/>
    </row>
    <row r="1504" spans="2:15" x14ac:dyDescent="0.2">
      <c r="B1504"/>
      <c r="C1504"/>
      <c r="D1504"/>
      <c r="E1504"/>
      <c r="F1504"/>
      <c r="G1504"/>
      <c r="H1504"/>
      <c r="I1504"/>
      <c r="J1504"/>
      <c r="K1504"/>
      <c r="L1504"/>
      <c r="M1504"/>
      <c r="N1504"/>
      <c r="O1504"/>
    </row>
    <row r="1505" spans="2:15" x14ac:dyDescent="0.2">
      <c r="B1505"/>
      <c r="C1505"/>
      <c r="D1505"/>
      <c r="E1505"/>
      <c r="F1505"/>
      <c r="G1505"/>
      <c r="H1505"/>
      <c r="I1505"/>
      <c r="J1505"/>
      <c r="K1505"/>
      <c r="L1505"/>
      <c r="M1505"/>
      <c r="N1505"/>
      <c r="O1505"/>
    </row>
    <row r="1506" spans="2:15" x14ac:dyDescent="0.2">
      <c r="B1506"/>
      <c r="C1506"/>
      <c r="D1506"/>
      <c r="E1506"/>
      <c r="F1506"/>
      <c r="G1506"/>
      <c r="H1506"/>
      <c r="I1506"/>
      <c r="J1506"/>
      <c r="K1506"/>
      <c r="L1506"/>
      <c r="M1506"/>
      <c r="N1506"/>
      <c r="O1506"/>
    </row>
    <row r="1507" spans="2:15" x14ac:dyDescent="0.2">
      <c r="B1507"/>
      <c r="C1507"/>
      <c r="D1507"/>
      <c r="E1507"/>
      <c r="F1507"/>
      <c r="G1507"/>
      <c r="H1507"/>
      <c r="I1507"/>
      <c r="J1507"/>
      <c r="K1507"/>
      <c r="L1507"/>
      <c r="M1507"/>
      <c r="N1507"/>
      <c r="O1507"/>
    </row>
    <row r="1508" spans="2:15" x14ac:dyDescent="0.2">
      <c r="B1508"/>
      <c r="C1508"/>
      <c r="D1508"/>
      <c r="E1508"/>
      <c r="F1508"/>
      <c r="G1508"/>
      <c r="H1508"/>
      <c r="I1508"/>
      <c r="J1508"/>
      <c r="K1508"/>
      <c r="L1508"/>
      <c r="M1508"/>
      <c r="N1508"/>
      <c r="O1508"/>
    </row>
    <row r="1509" spans="2:15" x14ac:dyDescent="0.2">
      <c r="B1509"/>
      <c r="C1509"/>
      <c r="D1509"/>
      <c r="E1509"/>
      <c r="F1509"/>
      <c r="G1509"/>
      <c r="H1509"/>
      <c r="I1509"/>
      <c r="J1509"/>
      <c r="K1509"/>
      <c r="L1509"/>
      <c r="M1509"/>
      <c r="N1509"/>
      <c r="O1509"/>
    </row>
    <row r="1510" spans="2:15" x14ac:dyDescent="0.2">
      <c r="B1510"/>
      <c r="C1510"/>
      <c r="D1510"/>
      <c r="E1510"/>
      <c r="F1510"/>
      <c r="G1510"/>
      <c r="H1510"/>
      <c r="I1510"/>
      <c r="J1510"/>
      <c r="K1510"/>
      <c r="L1510"/>
      <c r="M1510"/>
      <c r="N1510"/>
      <c r="O1510"/>
    </row>
    <row r="1511" spans="2:15" x14ac:dyDescent="0.2">
      <c r="B1511"/>
      <c r="C1511"/>
      <c r="D1511"/>
      <c r="E1511"/>
      <c r="F1511"/>
      <c r="G1511"/>
      <c r="H1511"/>
      <c r="I1511"/>
      <c r="J1511"/>
      <c r="K1511"/>
      <c r="L1511"/>
      <c r="M1511"/>
      <c r="N1511"/>
      <c r="O1511"/>
    </row>
    <row r="1512" spans="2:15" x14ac:dyDescent="0.2">
      <c r="B1512"/>
      <c r="C1512"/>
      <c r="D1512"/>
      <c r="E1512"/>
      <c r="F1512"/>
      <c r="G1512"/>
      <c r="H1512"/>
      <c r="I1512"/>
      <c r="J1512"/>
      <c r="K1512"/>
      <c r="L1512"/>
      <c r="M1512"/>
      <c r="N1512"/>
      <c r="O1512"/>
    </row>
    <row r="1513" spans="2:15" x14ac:dyDescent="0.2">
      <c r="B1513"/>
      <c r="C1513"/>
      <c r="D1513"/>
      <c r="E1513"/>
      <c r="F1513"/>
      <c r="G1513"/>
      <c r="H1513"/>
      <c r="I1513"/>
      <c r="J1513"/>
      <c r="K1513"/>
      <c r="L1513"/>
      <c r="M1513"/>
      <c r="N1513"/>
      <c r="O1513"/>
    </row>
    <row r="1514" spans="2:15" x14ac:dyDescent="0.2">
      <c r="B1514"/>
      <c r="C1514"/>
      <c r="D1514"/>
      <c r="E1514"/>
      <c r="F1514"/>
      <c r="G1514"/>
      <c r="H1514"/>
      <c r="I1514"/>
      <c r="J1514"/>
      <c r="K1514"/>
      <c r="L1514"/>
      <c r="M1514"/>
      <c r="N1514"/>
      <c r="O1514"/>
    </row>
    <row r="1515" spans="2:15" x14ac:dyDescent="0.2">
      <c r="B1515"/>
      <c r="C1515"/>
      <c r="D1515"/>
      <c r="E1515"/>
      <c r="F1515"/>
      <c r="G1515"/>
      <c r="H1515"/>
      <c r="I1515"/>
      <c r="J1515"/>
      <c r="K1515"/>
      <c r="L1515"/>
      <c r="M1515"/>
      <c r="N1515"/>
      <c r="O1515"/>
    </row>
    <row r="1516" spans="2:15" x14ac:dyDescent="0.2">
      <c r="B1516"/>
      <c r="C1516"/>
      <c r="D1516"/>
      <c r="E1516"/>
      <c r="F1516"/>
      <c r="G1516"/>
      <c r="H1516"/>
      <c r="I1516"/>
      <c r="J1516"/>
      <c r="K1516"/>
      <c r="L1516"/>
      <c r="M1516"/>
      <c r="N1516"/>
      <c r="O1516"/>
    </row>
    <row r="1517" spans="2:15" x14ac:dyDescent="0.2">
      <c r="B1517"/>
      <c r="C1517"/>
      <c r="D1517"/>
      <c r="E1517"/>
      <c r="F1517"/>
      <c r="G1517"/>
      <c r="H1517"/>
      <c r="I1517"/>
      <c r="J1517"/>
      <c r="K1517"/>
      <c r="L1517"/>
      <c r="M1517"/>
      <c r="N1517"/>
      <c r="O1517"/>
    </row>
    <row r="1518" spans="2:15" x14ac:dyDescent="0.2">
      <c r="B1518"/>
      <c r="C1518"/>
      <c r="D1518"/>
      <c r="E1518"/>
      <c r="F1518"/>
      <c r="G1518"/>
      <c r="H1518"/>
      <c r="I1518"/>
      <c r="J1518"/>
      <c r="K1518"/>
      <c r="L1518"/>
      <c r="M1518"/>
      <c r="N1518"/>
      <c r="O1518"/>
    </row>
    <row r="1519" spans="2:15" x14ac:dyDescent="0.2">
      <c r="B1519"/>
      <c r="C1519"/>
      <c r="D1519"/>
      <c r="E1519"/>
      <c r="F1519"/>
      <c r="G1519"/>
      <c r="H1519"/>
      <c r="I1519"/>
      <c r="J1519"/>
      <c r="K1519"/>
      <c r="L1519"/>
      <c r="M1519"/>
      <c r="N1519"/>
      <c r="O1519"/>
    </row>
    <row r="1520" spans="2:15" x14ac:dyDescent="0.2">
      <c r="B1520"/>
      <c r="C1520"/>
      <c r="D1520"/>
      <c r="E1520"/>
      <c r="F1520"/>
      <c r="G1520"/>
      <c r="H1520"/>
      <c r="I1520"/>
      <c r="J1520"/>
      <c r="K1520"/>
      <c r="L1520"/>
      <c r="M1520"/>
      <c r="N1520"/>
      <c r="O1520"/>
    </row>
    <row r="1521" spans="2:15" x14ac:dyDescent="0.2">
      <c r="B1521"/>
      <c r="C1521"/>
      <c r="D1521"/>
      <c r="E1521"/>
      <c r="F1521"/>
      <c r="G1521"/>
      <c r="H1521"/>
      <c r="I1521"/>
      <c r="J1521"/>
      <c r="K1521"/>
      <c r="L1521"/>
      <c r="M1521"/>
      <c r="N1521"/>
      <c r="O1521"/>
    </row>
    <row r="1522" spans="2:15" x14ac:dyDescent="0.2">
      <c r="B1522"/>
      <c r="C1522"/>
      <c r="D1522"/>
      <c r="E1522"/>
      <c r="F1522"/>
      <c r="G1522"/>
      <c r="H1522"/>
      <c r="I1522"/>
      <c r="J1522"/>
      <c r="K1522"/>
      <c r="L1522"/>
      <c r="M1522"/>
      <c r="N1522"/>
      <c r="O1522"/>
    </row>
    <row r="1523" spans="2:15" x14ac:dyDescent="0.2">
      <c r="B1523"/>
      <c r="C1523"/>
      <c r="D1523"/>
      <c r="E1523"/>
      <c r="F1523"/>
      <c r="G1523"/>
      <c r="H1523"/>
      <c r="I1523"/>
      <c r="J1523"/>
      <c r="K1523"/>
      <c r="L1523"/>
      <c r="M1523"/>
      <c r="N1523"/>
      <c r="O1523"/>
    </row>
    <row r="1524" spans="2:15" x14ac:dyDescent="0.2">
      <c r="B1524"/>
      <c r="C1524"/>
      <c r="D1524"/>
      <c r="E1524"/>
      <c r="F1524"/>
      <c r="G1524"/>
      <c r="H1524"/>
      <c r="I1524"/>
      <c r="J1524"/>
      <c r="K1524"/>
      <c r="L1524"/>
      <c r="M1524"/>
      <c r="N1524"/>
      <c r="O1524"/>
    </row>
    <row r="1525" spans="2:15" x14ac:dyDescent="0.2">
      <c r="B1525"/>
      <c r="C1525"/>
      <c r="D1525"/>
      <c r="E1525"/>
      <c r="F1525"/>
      <c r="G1525"/>
      <c r="H1525"/>
      <c r="I1525"/>
      <c r="J1525"/>
      <c r="K1525"/>
      <c r="L1525"/>
      <c r="M1525"/>
      <c r="N1525"/>
      <c r="O1525"/>
    </row>
    <row r="1526" spans="2:15" x14ac:dyDescent="0.2">
      <c r="B1526"/>
      <c r="C1526"/>
      <c r="D1526"/>
      <c r="E1526"/>
      <c r="F1526"/>
      <c r="G1526"/>
      <c r="H1526"/>
      <c r="I1526"/>
      <c r="J1526"/>
      <c r="K1526"/>
      <c r="L1526"/>
      <c r="M1526"/>
      <c r="N1526"/>
      <c r="O1526"/>
    </row>
    <row r="1527" spans="2:15" x14ac:dyDescent="0.2">
      <c r="B1527"/>
      <c r="C1527"/>
      <c r="D1527"/>
      <c r="E1527"/>
      <c r="F1527"/>
      <c r="G1527"/>
      <c r="H1527"/>
      <c r="I1527"/>
      <c r="J1527"/>
      <c r="K1527"/>
      <c r="L1527"/>
      <c r="M1527"/>
      <c r="N1527"/>
      <c r="O1527"/>
    </row>
    <row r="1528" spans="2:15" x14ac:dyDescent="0.2">
      <c r="B1528"/>
      <c r="C1528"/>
      <c r="D1528"/>
      <c r="E1528"/>
      <c r="F1528"/>
      <c r="G1528"/>
      <c r="H1528"/>
      <c r="I1528"/>
      <c r="J1528"/>
      <c r="K1528"/>
      <c r="L1528"/>
      <c r="M1528"/>
      <c r="N1528"/>
      <c r="O1528"/>
    </row>
    <row r="1529" spans="2:15" x14ac:dyDescent="0.2">
      <c r="B1529"/>
      <c r="C1529"/>
      <c r="D1529"/>
      <c r="E1529"/>
      <c r="F1529"/>
      <c r="G1529"/>
      <c r="H1529"/>
      <c r="I1529"/>
      <c r="J1529"/>
      <c r="K1529"/>
      <c r="L1529"/>
      <c r="M1529"/>
      <c r="N1529"/>
      <c r="O1529"/>
    </row>
    <row r="1530" spans="2:15" x14ac:dyDescent="0.2">
      <c r="B1530"/>
      <c r="C1530"/>
      <c r="D1530"/>
      <c r="E1530"/>
      <c r="F1530"/>
      <c r="G1530"/>
      <c r="H1530"/>
      <c r="I1530"/>
      <c r="J1530"/>
      <c r="K1530"/>
      <c r="L1530"/>
      <c r="M1530"/>
      <c r="N1530"/>
      <c r="O1530"/>
    </row>
    <row r="1531" spans="2:15" x14ac:dyDescent="0.2">
      <c r="B1531"/>
      <c r="C1531"/>
      <c r="D1531"/>
      <c r="E1531"/>
      <c r="F1531"/>
      <c r="G1531"/>
      <c r="H1531"/>
      <c r="I1531"/>
      <c r="J1531"/>
      <c r="K1531"/>
      <c r="L1531"/>
      <c r="M1531"/>
      <c r="N1531"/>
      <c r="O1531"/>
    </row>
    <row r="1532" spans="2:15" x14ac:dyDescent="0.2">
      <c r="B1532"/>
      <c r="C1532"/>
      <c r="D1532"/>
      <c r="E1532"/>
      <c r="F1532"/>
      <c r="G1532"/>
      <c r="H1532"/>
      <c r="I1532"/>
      <c r="J1532"/>
      <c r="K1532"/>
      <c r="L1532"/>
      <c r="M1532"/>
      <c r="N1532"/>
      <c r="O1532"/>
    </row>
    <row r="1533" spans="2:15" x14ac:dyDescent="0.2">
      <c r="B1533"/>
      <c r="C1533"/>
      <c r="D1533"/>
      <c r="E1533"/>
      <c r="F1533"/>
      <c r="G1533"/>
      <c r="H1533"/>
      <c r="I1533"/>
      <c r="J1533"/>
      <c r="K1533"/>
      <c r="L1533"/>
      <c r="M1533"/>
      <c r="N1533"/>
      <c r="O1533"/>
    </row>
    <row r="1534" spans="2:15" x14ac:dyDescent="0.2">
      <c r="B1534"/>
      <c r="C1534"/>
      <c r="D1534"/>
      <c r="E1534"/>
      <c r="F1534"/>
      <c r="G1534"/>
      <c r="H1534"/>
      <c r="I1534"/>
      <c r="J1534"/>
      <c r="K1534"/>
      <c r="L1534"/>
      <c r="M1534"/>
      <c r="N1534"/>
      <c r="O1534"/>
    </row>
    <row r="1535" spans="2:15" x14ac:dyDescent="0.2">
      <c r="B1535"/>
      <c r="C1535"/>
      <c r="D1535"/>
      <c r="E1535"/>
      <c r="F1535"/>
      <c r="G1535"/>
      <c r="H1535"/>
      <c r="I1535"/>
      <c r="J1535"/>
      <c r="K1535"/>
      <c r="L1535"/>
      <c r="M1535"/>
      <c r="N1535"/>
      <c r="O1535"/>
    </row>
    <row r="1536" spans="2:15" x14ac:dyDescent="0.2">
      <c r="B1536"/>
      <c r="C1536"/>
      <c r="D1536"/>
      <c r="E1536"/>
      <c r="F1536"/>
      <c r="G1536"/>
      <c r="H1536"/>
      <c r="I1536"/>
      <c r="J1536"/>
      <c r="K1536"/>
      <c r="L1536"/>
      <c r="M1536"/>
      <c r="N1536"/>
      <c r="O1536"/>
    </row>
    <row r="1537" spans="2:15" x14ac:dyDescent="0.2">
      <c r="B1537"/>
      <c r="C1537"/>
      <c r="D1537"/>
      <c r="E1537"/>
      <c r="F1537"/>
      <c r="G1537"/>
      <c r="H1537"/>
      <c r="I1537"/>
      <c r="J1537"/>
      <c r="K1537"/>
      <c r="L1537"/>
      <c r="M1537"/>
      <c r="N1537"/>
      <c r="O1537"/>
    </row>
    <row r="1538" spans="2:15" x14ac:dyDescent="0.2">
      <c r="B1538"/>
      <c r="C1538"/>
      <c r="D1538"/>
      <c r="E1538"/>
      <c r="F1538"/>
      <c r="G1538"/>
      <c r="H1538"/>
      <c r="I1538"/>
      <c r="J1538"/>
      <c r="K1538"/>
      <c r="L1538"/>
      <c r="M1538"/>
      <c r="N1538"/>
      <c r="O1538"/>
    </row>
    <row r="1539" spans="2:15" x14ac:dyDescent="0.2">
      <c r="B1539"/>
      <c r="C1539"/>
      <c r="D1539"/>
      <c r="E1539"/>
      <c r="F1539"/>
      <c r="G1539"/>
      <c r="H1539"/>
      <c r="I1539"/>
      <c r="J1539"/>
      <c r="K1539"/>
      <c r="L1539"/>
      <c r="M1539"/>
      <c r="N1539"/>
      <c r="O1539"/>
    </row>
    <row r="1540" spans="2:15" x14ac:dyDescent="0.2">
      <c r="B1540"/>
      <c r="C1540"/>
      <c r="D1540"/>
      <c r="E1540"/>
      <c r="F1540"/>
      <c r="G1540"/>
      <c r="H1540"/>
      <c r="I1540"/>
      <c r="J1540"/>
      <c r="K1540"/>
      <c r="L1540"/>
      <c r="M1540"/>
      <c r="N1540"/>
      <c r="O1540"/>
    </row>
    <row r="1541" spans="2:15" x14ac:dyDescent="0.2">
      <c r="B1541"/>
      <c r="C1541"/>
      <c r="D1541"/>
      <c r="E1541"/>
      <c r="F1541"/>
      <c r="G1541"/>
      <c r="H1541"/>
      <c r="I1541"/>
      <c r="J1541"/>
      <c r="K1541"/>
      <c r="L1541"/>
      <c r="M1541"/>
      <c r="N1541"/>
      <c r="O1541"/>
    </row>
    <row r="1542" spans="2:15" x14ac:dyDescent="0.2">
      <c r="B1542"/>
      <c r="C1542"/>
      <c r="D1542"/>
      <c r="E1542"/>
      <c r="F1542"/>
      <c r="G1542"/>
      <c r="H1542"/>
      <c r="I1542"/>
      <c r="J1542"/>
      <c r="K1542"/>
      <c r="L1542"/>
      <c r="M1542"/>
      <c r="N1542"/>
      <c r="O1542"/>
    </row>
    <row r="1543" spans="2:15" x14ac:dyDescent="0.2">
      <c r="B1543"/>
      <c r="C1543"/>
      <c r="D1543"/>
      <c r="E1543"/>
      <c r="F1543"/>
      <c r="G1543"/>
      <c r="H1543"/>
      <c r="I1543"/>
      <c r="J1543"/>
      <c r="K1543"/>
      <c r="L1543"/>
      <c r="M1543"/>
      <c r="N1543"/>
      <c r="O1543"/>
    </row>
    <row r="1544" spans="2:15" x14ac:dyDescent="0.2">
      <c r="B1544"/>
      <c r="C1544"/>
      <c r="D1544"/>
      <c r="E1544"/>
      <c r="F1544"/>
      <c r="G1544"/>
      <c r="H1544"/>
      <c r="I1544"/>
      <c r="J1544"/>
      <c r="K1544"/>
      <c r="L1544"/>
      <c r="M1544"/>
      <c r="N1544"/>
      <c r="O1544"/>
    </row>
    <row r="1545" spans="2:15" x14ac:dyDescent="0.2">
      <c r="B1545"/>
      <c r="C1545"/>
      <c r="D1545"/>
      <c r="E1545"/>
      <c r="F1545"/>
      <c r="G1545"/>
      <c r="H1545"/>
      <c r="I1545"/>
      <c r="J1545"/>
      <c r="K1545"/>
      <c r="L1545"/>
      <c r="M1545"/>
      <c r="N1545"/>
      <c r="O1545"/>
    </row>
    <row r="1546" spans="2:15" x14ac:dyDescent="0.2">
      <c r="B1546"/>
      <c r="C1546"/>
      <c r="D1546"/>
      <c r="E1546"/>
      <c r="F1546"/>
      <c r="G1546"/>
      <c r="H1546"/>
      <c r="I1546"/>
      <c r="J1546"/>
      <c r="K1546"/>
      <c r="L1546"/>
      <c r="M1546"/>
      <c r="N1546"/>
      <c r="O1546"/>
    </row>
    <row r="1547" spans="2:15" x14ac:dyDescent="0.2">
      <c r="B1547"/>
      <c r="C1547"/>
      <c r="D1547"/>
      <c r="E1547"/>
      <c r="F1547"/>
      <c r="G1547"/>
      <c r="H1547"/>
      <c r="I1547"/>
      <c r="J1547"/>
      <c r="K1547"/>
      <c r="L1547"/>
      <c r="M1547"/>
      <c r="N1547"/>
      <c r="O1547"/>
    </row>
    <row r="1548" spans="2:15" x14ac:dyDescent="0.2">
      <c r="B1548"/>
      <c r="C1548"/>
      <c r="D1548"/>
      <c r="E1548"/>
      <c r="F1548"/>
      <c r="G1548"/>
      <c r="H1548"/>
      <c r="I1548"/>
      <c r="J1548"/>
      <c r="K1548"/>
      <c r="L1548"/>
      <c r="M1548"/>
      <c r="N1548"/>
      <c r="O1548"/>
    </row>
    <row r="1549" spans="2:15" x14ac:dyDescent="0.2">
      <c r="B1549"/>
      <c r="C1549"/>
      <c r="D1549"/>
      <c r="E1549"/>
      <c r="F1549"/>
      <c r="G1549"/>
      <c r="H1549"/>
      <c r="I1549"/>
      <c r="J1549"/>
      <c r="K1549"/>
      <c r="L1549"/>
      <c r="M1549"/>
      <c r="N1549"/>
      <c r="O1549"/>
    </row>
    <row r="1550" spans="2:15" x14ac:dyDescent="0.2">
      <c r="B1550"/>
      <c r="C1550"/>
      <c r="D1550"/>
      <c r="E1550"/>
      <c r="F1550"/>
      <c r="G1550"/>
      <c r="H1550"/>
      <c r="I1550"/>
      <c r="J1550"/>
      <c r="K1550"/>
      <c r="L1550"/>
      <c r="M1550"/>
      <c r="N1550"/>
      <c r="O1550"/>
    </row>
    <row r="1551" spans="2:15" x14ac:dyDescent="0.2">
      <c r="B1551"/>
      <c r="C1551"/>
      <c r="D1551"/>
      <c r="E1551"/>
      <c r="F1551"/>
      <c r="G1551"/>
      <c r="H1551"/>
      <c r="I1551"/>
      <c r="J1551"/>
      <c r="K1551"/>
      <c r="L1551"/>
      <c r="M1551"/>
      <c r="N1551"/>
      <c r="O1551"/>
    </row>
    <row r="1552" spans="2:15" x14ac:dyDescent="0.2">
      <c r="B1552"/>
      <c r="C1552"/>
      <c r="D1552"/>
      <c r="E1552"/>
      <c r="F1552"/>
      <c r="G1552"/>
      <c r="H1552"/>
      <c r="I1552"/>
      <c r="J1552"/>
      <c r="K1552"/>
      <c r="L1552"/>
      <c r="M1552"/>
      <c r="N1552"/>
      <c r="O1552"/>
    </row>
    <row r="1553" spans="2:15" x14ac:dyDescent="0.2">
      <c r="B1553"/>
      <c r="C1553"/>
      <c r="D1553"/>
      <c r="E1553"/>
      <c r="F1553"/>
      <c r="G1553"/>
      <c r="H1553"/>
      <c r="I1553"/>
      <c r="J1553"/>
      <c r="K1553"/>
      <c r="L1553"/>
      <c r="M1553"/>
      <c r="N1553"/>
      <c r="O1553"/>
    </row>
    <row r="1554" spans="2:15" x14ac:dyDescent="0.2">
      <c r="B1554"/>
      <c r="C1554"/>
      <c r="D1554"/>
      <c r="E1554"/>
      <c r="F1554"/>
      <c r="G1554"/>
      <c r="H1554"/>
      <c r="I1554"/>
      <c r="J1554"/>
      <c r="K1554"/>
      <c r="L1554"/>
      <c r="M1554"/>
      <c r="N1554"/>
      <c r="O1554"/>
    </row>
    <row r="1555" spans="2:15" x14ac:dyDescent="0.2">
      <c r="B1555"/>
      <c r="C1555"/>
      <c r="D1555"/>
      <c r="E1555"/>
      <c r="F1555"/>
      <c r="G1555"/>
      <c r="H1555"/>
      <c r="I1555"/>
      <c r="J1555"/>
      <c r="K1555"/>
      <c r="L1555"/>
      <c r="M1555"/>
      <c r="N1555"/>
      <c r="O1555"/>
    </row>
    <row r="1556" spans="2:15" x14ac:dyDescent="0.2">
      <c r="B1556"/>
      <c r="C1556"/>
      <c r="D1556"/>
      <c r="E1556"/>
      <c r="F1556"/>
      <c r="G1556"/>
      <c r="H1556"/>
      <c r="I1556"/>
      <c r="J1556"/>
      <c r="K1556"/>
      <c r="L1556"/>
      <c r="M1556"/>
      <c r="N1556"/>
      <c r="O1556"/>
    </row>
    <row r="1557" spans="2:15" x14ac:dyDescent="0.2">
      <c r="B1557"/>
      <c r="C1557"/>
      <c r="D1557"/>
      <c r="E1557"/>
      <c r="F1557"/>
      <c r="G1557"/>
      <c r="H1557"/>
      <c r="I1557"/>
      <c r="J1557"/>
      <c r="K1557"/>
      <c r="L1557"/>
      <c r="M1557"/>
      <c r="N1557"/>
      <c r="O1557"/>
    </row>
    <row r="1558" spans="2:15" x14ac:dyDescent="0.2">
      <c r="B1558"/>
      <c r="C1558"/>
      <c r="D1558"/>
      <c r="E1558"/>
      <c r="F1558"/>
      <c r="G1558"/>
      <c r="H1558"/>
      <c r="I1558"/>
      <c r="J1558"/>
      <c r="K1558"/>
      <c r="L1558"/>
      <c r="M1558"/>
      <c r="N1558"/>
      <c r="O1558"/>
    </row>
    <row r="1559" spans="2:15" x14ac:dyDescent="0.2">
      <c r="B1559"/>
      <c r="C1559"/>
      <c r="D1559"/>
      <c r="E1559"/>
      <c r="F1559"/>
      <c r="G1559"/>
      <c r="H1559"/>
      <c r="I1559"/>
      <c r="J1559"/>
      <c r="K1559"/>
      <c r="L1559"/>
      <c r="M1559"/>
      <c r="N1559"/>
      <c r="O1559"/>
    </row>
    <row r="1560" spans="2:15" x14ac:dyDescent="0.2">
      <c r="B1560"/>
      <c r="C1560"/>
      <c r="D1560"/>
      <c r="E1560"/>
      <c r="F1560"/>
      <c r="G1560"/>
      <c r="H1560"/>
      <c r="I1560"/>
      <c r="J1560"/>
      <c r="K1560"/>
      <c r="L1560"/>
      <c r="M1560"/>
      <c r="N1560"/>
      <c r="O1560"/>
    </row>
    <row r="1561" spans="2:15" x14ac:dyDescent="0.2">
      <c r="B1561"/>
      <c r="C1561"/>
      <c r="D1561"/>
      <c r="E1561"/>
      <c r="F1561"/>
      <c r="G1561"/>
      <c r="H1561"/>
      <c r="I1561"/>
      <c r="J1561"/>
      <c r="K1561"/>
      <c r="L1561"/>
      <c r="M1561"/>
      <c r="N1561"/>
      <c r="O1561"/>
    </row>
    <row r="1562" spans="2:15" x14ac:dyDescent="0.2">
      <c r="B1562"/>
      <c r="C1562"/>
      <c r="D1562"/>
      <c r="E1562"/>
      <c r="F1562"/>
      <c r="G1562"/>
      <c r="H1562"/>
      <c r="I1562"/>
      <c r="J1562"/>
      <c r="K1562"/>
      <c r="L1562"/>
      <c r="M1562"/>
      <c r="N1562"/>
      <c r="O1562"/>
    </row>
    <row r="1563" spans="2:15" x14ac:dyDescent="0.2">
      <c r="B1563"/>
      <c r="C1563"/>
      <c r="D1563"/>
      <c r="E1563"/>
      <c r="F1563"/>
      <c r="G1563"/>
      <c r="H1563"/>
      <c r="I1563"/>
      <c r="J1563"/>
      <c r="K1563"/>
      <c r="L1563"/>
      <c r="M1563"/>
      <c r="N1563"/>
      <c r="O1563"/>
    </row>
    <row r="1564" spans="2:15" x14ac:dyDescent="0.2">
      <c r="B1564"/>
      <c r="C1564"/>
      <c r="D1564"/>
      <c r="E1564"/>
      <c r="F1564"/>
      <c r="G1564"/>
      <c r="H1564"/>
      <c r="I1564"/>
      <c r="J1564"/>
      <c r="K1564"/>
      <c r="L1564"/>
      <c r="M1564"/>
      <c r="N1564"/>
      <c r="O1564"/>
    </row>
    <row r="1565" spans="2:15" x14ac:dyDescent="0.2">
      <c r="B1565"/>
      <c r="C1565"/>
      <c r="D1565"/>
      <c r="E1565"/>
      <c r="F1565"/>
      <c r="G1565"/>
      <c r="H1565"/>
      <c r="I1565"/>
      <c r="J1565"/>
      <c r="K1565"/>
      <c r="L1565"/>
      <c r="M1565"/>
      <c r="N1565"/>
      <c r="O1565"/>
    </row>
    <row r="1566" spans="2:15" x14ac:dyDescent="0.2">
      <c r="B1566"/>
      <c r="C1566"/>
      <c r="D1566"/>
      <c r="E1566"/>
      <c r="F1566"/>
      <c r="G1566"/>
      <c r="H1566"/>
      <c r="I1566"/>
      <c r="J1566"/>
      <c r="K1566"/>
      <c r="L1566"/>
      <c r="M1566"/>
      <c r="N1566"/>
      <c r="O1566"/>
    </row>
    <row r="1567" spans="2:15" x14ac:dyDescent="0.2">
      <c r="B1567"/>
      <c r="C1567"/>
      <c r="D1567"/>
      <c r="E1567"/>
      <c r="F1567"/>
      <c r="G1567"/>
      <c r="H1567"/>
      <c r="I1567"/>
      <c r="J1567"/>
      <c r="K1567"/>
      <c r="L1567"/>
      <c r="M1567"/>
      <c r="N1567"/>
      <c r="O1567"/>
    </row>
    <row r="1568" spans="2:15" x14ac:dyDescent="0.2">
      <c r="B1568"/>
      <c r="C1568"/>
      <c r="D1568"/>
      <c r="E1568"/>
      <c r="F1568"/>
      <c r="G1568"/>
      <c r="H1568"/>
      <c r="I1568"/>
      <c r="J1568"/>
      <c r="K1568"/>
      <c r="L1568"/>
      <c r="M1568"/>
      <c r="N1568"/>
      <c r="O1568"/>
    </row>
    <row r="1569" spans="2:15" x14ac:dyDescent="0.2">
      <c r="B1569"/>
      <c r="C1569"/>
      <c r="D1569"/>
      <c r="E1569"/>
      <c r="F1569"/>
      <c r="G1569"/>
      <c r="H1569"/>
      <c r="I1569"/>
      <c r="J1569"/>
      <c r="K1569"/>
      <c r="L1569"/>
      <c r="M1569"/>
      <c r="N1569"/>
      <c r="O1569"/>
    </row>
    <row r="1570" spans="2:15" x14ac:dyDescent="0.2">
      <c r="B1570"/>
      <c r="C1570"/>
      <c r="D1570"/>
      <c r="E1570"/>
      <c r="F1570"/>
      <c r="G1570"/>
      <c r="H1570"/>
      <c r="I1570"/>
      <c r="J1570"/>
      <c r="K1570"/>
      <c r="L1570"/>
      <c r="M1570"/>
      <c r="N1570"/>
      <c r="O1570"/>
    </row>
    <row r="1571" spans="2:15" x14ac:dyDescent="0.2">
      <c r="B1571"/>
      <c r="C1571"/>
      <c r="D1571"/>
      <c r="E1571"/>
      <c r="F1571"/>
      <c r="G1571"/>
      <c r="H1571"/>
      <c r="I1571"/>
      <c r="J1571"/>
      <c r="K1571"/>
      <c r="L1571"/>
      <c r="M1571"/>
      <c r="N1571"/>
      <c r="O1571"/>
    </row>
    <row r="1572" spans="2:15" x14ac:dyDescent="0.2">
      <c r="B1572"/>
      <c r="C1572"/>
      <c r="D1572"/>
      <c r="E1572"/>
      <c r="F1572"/>
      <c r="G1572"/>
      <c r="H1572"/>
      <c r="I1572"/>
      <c r="J1572"/>
      <c r="K1572"/>
      <c r="L1572"/>
      <c r="M1572"/>
      <c r="N1572"/>
      <c r="O1572"/>
    </row>
    <row r="1573" spans="2:15" x14ac:dyDescent="0.2">
      <c r="B1573"/>
      <c r="C1573"/>
      <c r="D1573"/>
      <c r="E1573"/>
      <c r="F1573"/>
      <c r="G1573"/>
      <c r="H1573"/>
      <c r="I1573"/>
      <c r="J1573"/>
      <c r="K1573"/>
      <c r="L1573"/>
      <c r="M1573"/>
      <c r="N1573"/>
      <c r="O1573"/>
    </row>
    <row r="1574" spans="2:15" x14ac:dyDescent="0.2">
      <c r="B1574"/>
      <c r="C1574"/>
      <c r="D1574"/>
      <c r="E1574"/>
      <c r="F1574"/>
      <c r="G1574"/>
      <c r="H1574"/>
      <c r="I1574"/>
      <c r="J1574"/>
      <c r="K1574"/>
      <c r="L1574"/>
      <c r="M1574"/>
      <c r="N1574"/>
      <c r="O1574"/>
    </row>
    <row r="1575" spans="2:15" x14ac:dyDescent="0.2">
      <c r="B1575"/>
      <c r="C1575"/>
      <c r="D1575"/>
      <c r="E1575"/>
      <c r="F1575"/>
      <c r="G1575"/>
      <c r="H1575"/>
      <c r="I1575"/>
      <c r="J1575"/>
      <c r="K1575"/>
      <c r="L1575"/>
      <c r="M1575"/>
      <c r="N1575"/>
      <c r="O1575"/>
    </row>
    <row r="1576" spans="2:15" x14ac:dyDescent="0.2">
      <c r="B1576"/>
      <c r="C1576"/>
      <c r="D1576"/>
      <c r="E1576"/>
      <c r="F1576"/>
      <c r="G1576"/>
      <c r="H1576"/>
      <c r="I1576"/>
      <c r="J1576"/>
      <c r="K1576"/>
      <c r="L1576"/>
      <c r="M1576"/>
      <c r="N1576"/>
      <c r="O1576"/>
    </row>
    <row r="1577" spans="2:15" x14ac:dyDescent="0.2">
      <c r="B1577"/>
      <c r="C1577"/>
      <c r="D1577"/>
      <c r="E1577"/>
      <c r="F1577"/>
      <c r="G1577"/>
      <c r="H1577"/>
      <c r="I1577"/>
      <c r="J1577"/>
      <c r="K1577"/>
      <c r="L1577"/>
      <c r="M1577"/>
      <c r="N1577"/>
      <c r="O1577"/>
    </row>
    <row r="1578" spans="2:15" x14ac:dyDescent="0.2">
      <c r="B1578"/>
      <c r="C1578"/>
      <c r="D1578"/>
      <c r="E1578"/>
      <c r="F1578"/>
      <c r="G1578"/>
      <c r="H1578"/>
      <c r="I1578"/>
      <c r="J1578"/>
      <c r="K1578"/>
      <c r="L1578"/>
      <c r="M1578"/>
      <c r="N1578"/>
      <c r="O1578"/>
    </row>
    <row r="1579" spans="2:15" x14ac:dyDescent="0.2">
      <c r="B1579"/>
      <c r="C1579"/>
      <c r="D1579"/>
      <c r="E1579"/>
      <c r="F1579"/>
      <c r="G1579"/>
      <c r="H1579"/>
      <c r="I1579"/>
      <c r="J1579"/>
      <c r="K1579"/>
      <c r="L1579"/>
      <c r="M1579"/>
      <c r="N1579"/>
      <c r="O1579"/>
    </row>
    <row r="1580" spans="2:15" x14ac:dyDescent="0.2">
      <c r="B1580"/>
      <c r="C1580"/>
      <c r="D1580"/>
      <c r="E1580"/>
      <c r="F1580"/>
      <c r="G1580"/>
      <c r="H1580"/>
      <c r="I1580"/>
      <c r="J1580"/>
      <c r="K1580"/>
      <c r="L1580"/>
      <c r="M1580"/>
      <c r="N1580"/>
      <c r="O1580"/>
    </row>
    <row r="1581" spans="2:15" x14ac:dyDescent="0.2">
      <c r="B1581"/>
      <c r="C1581"/>
      <c r="D1581"/>
      <c r="E1581"/>
      <c r="F1581"/>
      <c r="G1581"/>
      <c r="H1581"/>
      <c r="I1581"/>
      <c r="J1581"/>
      <c r="K1581"/>
      <c r="L1581"/>
      <c r="M1581"/>
      <c r="N1581"/>
      <c r="O1581"/>
    </row>
    <row r="1582" spans="2:15" x14ac:dyDescent="0.2">
      <c r="B1582"/>
      <c r="C1582"/>
      <c r="D1582"/>
      <c r="E1582"/>
      <c r="F1582"/>
      <c r="G1582"/>
      <c r="H1582"/>
      <c r="I1582"/>
      <c r="J1582"/>
      <c r="K1582"/>
      <c r="L1582"/>
      <c r="M1582"/>
      <c r="N1582"/>
      <c r="O1582"/>
    </row>
    <row r="1583" spans="2:15" x14ac:dyDescent="0.2">
      <c r="B1583"/>
      <c r="C1583"/>
      <c r="D1583"/>
      <c r="E1583"/>
      <c r="F1583"/>
      <c r="G1583"/>
      <c r="H1583"/>
      <c r="I1583"/>
      <c r="J1583"/>
      <c r="K1583"/>
      <c r="L1583"/>
      <c r="M1583"/>
      <c r="N1583"/>
      <c r="O1583"/>
    </row>
    <row r="1584" spans="2:15" x14ac:dyDescent="0.2">
      <c r="B1584"/>
      <c r="C1584"/>
      <c r="D1584"/>
      <c r="E1584"/>
      <c r="F1584"/>
      <c r="G1584"/>
      <c r="H1584"/>
      <c r="I1584"/>
      <c r="J1584"/>
      <c r="K1584"/>
      <c r="L1584"/>
      <c r="M1584"/>
      <c r="N1584"/>
      <c r="O1584"/>
    </row>
    <row r="1585" spans="2:15" x14ac:dyDescent="0.2">
      <c r="B1585"/>
      <c r="C1585"/>
      <c r="D1585"/>
      <c r="E1585"/>
      <c r="F1585"/>
      <c r="G1585"/>
      <c r="H1585"/>
      <c r="I1585"/>
      <c r="J1585"/>
      <c r="K1585"/>
      <c r="L1585"/>
      <c r="M1585"/>
      <c r="N1585"/>
      <c r="O1585"/>
    </row>
    <row r="1586" spans="2:15" x14ac:dyDescent="0.2">
      <c r="B1586"/>
      <c r="C1586"/>
      <c r="D1586"/>
      <c r="E1586"/>
      <c r="F1586"/>
      <c r="G1586"/>
      <c r="H1586"/>
      <c r="I1586"/>
      <c r="J1586"/>
      <c r="K1586"/>
      <c r="L1586"/>
      <c r="M1586"/>
      <c r="N1586"/>
      <c r="O1586"/>
    </row>
    <row r="1587" spans="2:15" x14ac:dyDescent="0.2">
      <c r="B1587"/>
      <c r="C1587"/>
      <c r="D1587"/>
      <c r="E1587"/>
      <c r="F1587"/>
      <c r="G1587"/>
      <c r="H1587"/>
      <c r="I1587"/>
      <c r="J1587"/>
      <c r="K1587"/>
      <c r="L1587"/>
      <c r="M1587"/>
      <c r="N1587"/>
      <c r="O1587"/>
    </row>
    <row r="1588" spans="2:15" x14ac:dyDescent="0.2">
      <c r="B1588"/>
      <c r="C1588"/>
      <c r="D1588"/>
      <c r="E1588"/>
      <c r="F1588"/>
      <c r="G1588"/>
      <c r="H1588"/>
      <c r="I1588"/>
      <c r="J1588"/>
      <c r="K1588"/>
      <c r="L1588"/>
      <c r="M1588"/>
      <c r="N1588"/>
      <c r="O1588"/>
    </row>
    <row r="1589" spans="2:15" x14ac:dyDescent="0.2">
      <c r="B1589"/>
      <c r="C1589"/>
      <c r="D1589"/>
      <c r="E1589"/>
      <c r="F1589"/>
      <c r="G1589"/>
      <c r="H1589"/>
      <c r="I1589"/>
      <c r="J1589"/>
      <c r="K1589"/>
      <c r="L1589"/>
      <c r="M1589"/>
      <c r="N1589"/>
      <c r="O1589"/>
    </row>
    <row r="1590" spans="2:15" x14ac:dyDescent="0.2">
      <c r="B1590"/>
      <c r="C1590"/>
      <c r="D1590"/>
      <c r="E1590"/>
      <c r="F1590"/>
      <c r="G1590"/>
      <c r="H1590"/>
      <c r="I1590"/>
      <c r="J1590"/>
      <c r="K1590"/>
      <c r="L1590"/>
      <c r="M1590"/>
      <c r="N1590"/>
      <c r="O1590"/>
    </row>
    <row r="1591" spans="2:15" x14ac:dyDescent="0.2">
      <c r="B1591"/>
      <c r="C1591"/>
      <c r="D1591"/>
      <c r="E1591"/>
      <c r="F1591"/>
      <c r="G1591"/>
      <c r="H1591"/>
      <c r="I1591"/>
      <c r="J1591"/>
      <c r="K1591"/>
      <c r="L1591"/>
      <c r="M1591"/>
      <c r="N1591"/>
      <c r="O1591"/>
    </row>
    <row r="1592" spans="2:15" x14ac:dyDescent="0.2">
      <c r="B1592"/>
      <c r="C1592"/>
      <c r="D1592"/>
      <c r="E1592"/>
      <c r="F1592"/>
      <c r="G1592"/>
      <c r="H1592"/>
      <c r="I1592"/>
      <c r="J1592"/>
      <c r="K1592"/>
      <c r="L1592"/>
      <c r="M1592"/>
      <c r="N1592"/>
      <c r="O1592"/>
    </row>
    <row r="1593" spans="2:15" x14ac:dyDescent="0.2">
      <c r="B1593"/>
      <c r="C1593"/>
      <c r="D1593"/>
      <c r="E1593"/>
      <c r="F1593"/>
      <c r="G1593"/>
      <c r="H1593"/>
      <c r="I1593"/>
      <c r="J1593"/>
      <c r="K1593"/>
      <c r="L1593"/>
      <c r="M1593"/>
      <c r="N1593"/>
      <c r="O1593"/>
    </row>
    <row r="1594" spans="2:15" x14ac:dyDescent="0.2">
      <c r="B1594"/>
      <c r="C1594"/>
      <c r="D1594"/>
      <c r="E1594"/>
      <c r="F1594"/>
      <c r="G1594"/>
      <c r="H1594"/>
      <c r="I1594"/>
      <c r="J1594"/>
      <c r="K1594"/>
      <c r="L1594"/>
      <c r="M1594"/>
      <c r="N1594"/>
      <c r="O1594"/>
    </row>
    <row r="1595" spans="2:15" x14ac:dyDescent="0.2">
      <c r="B1595"/>
      <c r="C1595"/>
      <c r="D1595"/>
      <c r="E1595"/>
      <c r="F1595"/>
      <c r="G1595"/>
      <c r="H1595"/>
      <c r="I1595"/>
      <c r="J1595"/>
      <c r="K1595"/>
      <c r="L1595"/>
      <c r="M1595"/>
      <c r="N1595"/>
      <c r="O1595"/>
    </row>
    <row r="1596" spans="2:15" x14ac:dyDescent="0.2">
      <c r="B1596"/>
      <c r="C1596"/>
      <c r="D1596"/>
      <c r="E1596"/>
      <c r="F1596"/>
      <c r="G1596"/>
      <c r="H1596"/>
      <c r="I1596"/>
      <c r="J1596"/>
      <c r="K1596"/>
      <c r="L1596"/>
      <c r="M1596"/>
      <c r="N1596"/>
      <c r="O1596"/>
    </row>
    <row r="1597" spans="2:15" x14ac:dyDescent="0.2">
      <c r="B1597"/>
      <c r="C1597"/>
      <c r="D1597"/>
      <c r="E1597"/>
      <c r="F1597"/>
      <c r="G1597"/>
      <c r="H1597"/>
      <c r="I1597"/>
      <c r="J1597"/>
      <c r="K1597"/>
      <c r="L1597"/>
      <c r="M1597"/>
      <c r="N1597"/>
      <c r="O1597"/>
    </row>
    <row r="1598" spans="2:15" x14ac:dyDescent="0.2">
      <c r="B1598"/>
      <c r="C1598"/>
      <c r="D1598"/>
      <c r="E1598"/>
      <c r="F1598"/>
      <c r="G1598"/>
      <c r="H1598"/>
      <c r="I1598"/>
      <c r="J1598"/>
      <c r="K1598"/>
      <c r="L1598"/>
      <c r="M1598"/>
      <c r="N1598"/>
      <c r="O1598"/>
    </row>
  </sheetData>
  <pageMargins left="0.6" right="0.6" top="1" bottom="1" header="0.5" footer="0.5"/>
  <pageSetup orientation="landscape" r:id="rId1"/>
  <headerFooter>
    <oddHeader>&amp;RDraft - Work in Progress</oddHeader>
    <oddFooter>&amp;L&amp;F
&amp;D, &amp;T&amp;C
Page &amp;P of &amp;N&amp;R&amp;A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7E72C-A44E-4C99-9430-5EA0DA4A7FEB}">
  <sheetPr codeName="Sheet6">
    <tabColor theme="9" tint="0.79998168889431442"/>
    <pageSetUpPr fitToPage="1"/>
  </sheetPr>
  <dimension ref="B1:K18"/>
  <sheetViews>
    <sheetView showGridLines="0" topLeftCell="A4" zoomScaleNormal="100" workbookViewId="0">
      <selection activeCell="C14" sqref="C14"/>
    </sheetView>
  </sheetViews>
  <sheetFormatPr baseColWidth="10" defaultColWidth="8.83203125" defaultRowHeight="15" x14ac:dyDescent="0.2"/>
  <cols>
    <col min="1" max="1" width="1.83203125" style="9" customWidth="1"/>
    <col min="2" max="2" width="18.5" style="9" bestFit="1" customWidth="1"/>
    <col min="3" max="3" width="9.6640625" style="9" bestFit="1" customWidth="1"/>
    <col min="4" max="4" width="11.5" style="23" bestFit="1" customWidth="1"/>
    <col min="5" max="6" width="13.6640625" style="23" customWidth="1"/>
    <col min="7" max="10" width="8.83203125" style="9"/>
    <col min="11" max="11" width="8.83203125" style="10"/>
    <col min="12" max="16384" width="8.83203125" style="9"/>
  </cols>
  <sheetData>
    <row r="1" spans="2:11" x14ac:dyDescent="0.2">
      <c r="B1" s="8" t="s">
        <v>580</v>
      </c>
    </row>
    <row r="2" spans="2:11" s="23" customFormat="1" x14ac:dyDescent="0.2">
      <c r="B2" s="8"/>
      <c r="K2" s="10"/>
    </row>
    <row r="3" spans="2:11" s="49" customFormat="1" x14ac:dyDescent="0.2">
      <c r="B3" s="54" t="s">
        <v>600</v>
      </c>
      <c r="K3" s="10"/>
    </row>
    <row r="4" spans="2:11" s="49" customFormat="1" x14ac:dyDescent="0.2">
      <c r="B4" s="8"/>
      <c r="K4" s="10"/>
    </row>
    <row r="5" spans="2:11" x14ac:dyDescent="0.2">
      <c r="B5" s="52" t="s">
        <v>546</v>
      </c>
      <c r="C5" s="53" t="s">
        <v>545</v>
      </c>
      <c r="D5" s="52" t="s">
        <v>555</v>
      </c>
      <c r="E5" s="52" t="s">
        <v>556</v>
      </c>
      <c r="F5" s="52" t="s">
        <v>552</v>
      </c>
    </row>
    <row r="6" spans="2:11" x14ac:dyDescent="0.2">
      <c r="B6" s="21">
        <v>43831</v>
      </c>
      <c r="C6" s="39">
        <v>3</v>
      </c>
      <c r="D6" s="23">
        <f>C6</f>
        <v>3</v>
      </c>
      <c r="E6" s="9">
        <f>F6</f>
        <v>1</v>
      </c>
      <c r="F6" s="9">
        <f t="shared" ref="F6:F17" si="0">IF((D6/6)&lt;=1,1,IF((D6/6)&lt;=2,2,IF((D6/6)&lt;=3,3,IF((D6/6)&lt;=4,4))))</f>
        <v>1</v>
      </c>
    </row>
    <row r="7" spans="2:11" x14ac:dyDescent="0.2">
      <c r="B7" s="21">
        <v>43862</v>
      </c>
      <c r="C7" s="39">
        <v>3</v>
      </c>
      <c r="D7" s="23">
        <f t="shared" ref="D7:D17" si="1">C7+D6</f>
        <v>6</v>
      </c>
      <c r="E7" s="9">
        <f t="shared" ref="E7:E17" si="2">F7-F6</f>
        <v>0</v>
      </c>
      <c r="F7" s="23">
        <f t="shared" si="0"/>
        <v>1</v>
      </c>
      <c r="J7" s="9" t="s">
        <v>576</v>
      </c>
    </row>
    <row r="8" spans="2:11" x14ac:dyDescent="0.2">
      <c r="B8" s="21">
        <v>43891</v>
      </c>
      <c r="C8" s="39">
        <v>3</v>
      </c>
      <c r="D8" s="23">
        <f t="shared" si="1"/>
        <v>9</v>
      </c>
      <c r="E8" s="23">
        <f t="shared" si="2"/>
        <v>1</v>
      </c>
      <c r="F8" s="23">
        <f t="shared" si="0"/>
        <v>2</v>
      </c>
      <c r="J8" s="9" t="s">
        <v>618</v>
      </c>
    </row>
    <row r="9" spans="2:11" x14ac:dyDescent="0.2">
      <c r="B9" s="21">
        <v>43922</v>
      </c>
      <c r="C9" s="39">
        <v>1</v>
      </c>
      <c r="D9" s="23">
        <f t="shared" si="1"/>
        <v>10</v>
      </c>
      <c r="E9" s="23">
        <f t="shared" si="2"/>
        <v>0</v>
      </c>
      <c r="F9" s="23">
        <f t="shared" si="0"/>
        <v>2</v>
      </c>
    </row>
    <row r="10" spans="2:11" x14ac:dyDescent="0.2">
      <c r="B10" s="21">
        <v>43952</v>
      </c>
      <c r="C10" s="39">
        <v>1</v>
      </c>
      <c r="D10" s="23">
        <f t="shared" si="1"/>
        <v>11</v>
      </c>
      <c r="E10" s="23">
        <f t="shared" si="2"/>
        <v>0</v>
      </c>
      <c r="F10" s="23">
        <f t="shared" si="0"/>
        <v>2</v>
      </c>
    </row>
    <row r="11" spans="2:11" x14ac:dyDescent="0.2">
      <c r="B11" s="21">
        <v>43983</v>
      </c>
      <c r="C11" s="39">
        <v>1</v>
      </c>
      <c r="D11" s="23">
        <f t="shared" si="1"/>
        <v>12</v>
      </c>
      <c r="E11" s="23">
        <f t="shared" si="2"/>
        <v>0</v>
      </c>
      <c r="F11" s="23">
        <f t="shared" si="0"/>
        <v>2</v>
      </c>
    </row>
    <row r="12" spans="2:11" x14ac:dyDescent="0.2">
      <c r="B12" s="21">
        <v>44013</v>
      </c>
      <c r="C12" s="39">
        <v>1</v>
      </c>
      <c r="D12" s="23">
        <f t="shared" si="1"/>
        <v>13</v>
      </c>
      <c r="E12" s="23">
        <f t="shared" si="2"/>
        <v>1</v>
      </c>
      <c r="F12" s="23">
        <f t="shared" si="0"/>
        <v>3</v>
      </c>
    </row>
    <row r="13" spans="2:11" x14ac:dyDescent="0.2">
      <c r="B13" s="21">
        <v>44044</v>
      </c>
      <c r="C13" s="39">
        <v>1</v>
      </c>
      <c r="D13" s="23">
        <f t="shared" si="1"/>
        <v>14</v>
      </c>
      <c r="E13" s="23">
        <f t="shared" si="2"/>
        <v>0</v>
      </c>
      <c r="F13" s="23">
        <f t="shared" si="0"/>
        <v>3</v>
      </c>
    </row>
    <row r="14" spans="2:11" x14ac:dyDescent="0.2">
      <c r="B14" s="21">
        <v>44075</v>
      </c>
      <c r="C14" s="39">
        <v>1</v>
      </c>
      <c r="D14" s="23">
        <f t="shared" si="1"/>
        <v>15</v>
      </c>
      <c r="E14" s="23">
        <f t="shared" si="2"/>
        <v>0</v>
      </c>
      <c r="F14" s="23">
        <f t="shared" si="0"/>
        <v>3</v>
      </c>
    </row>
    <row r="15" spans="2:11" x14ac:dyDescent="0.2">
      <c r="B15" s="21">
        <v>44105</v>
      </c>
      <c r="C15" s="39">
        <v>1</v>
      </c>
      <c r="D15" s="23">
        <f t="shared" si="1"/>
        <v>16</v>
      </c>
      <c r="E15" s="23">
        <f t="shared" si="2"/>
        <v>0</v>
      </c>
      <c r="F15" s="23">
        <f t="shared" si="0"/>
        <v>3</v>
      </c>
    </row>
    <row r="16" spans="2:11" x14ac:dyDescent="0.2">
      <c r="B16" s="21">
        <v>44136</v>
      </c>
      <c r="C16" s="39">
        <v>1</v>
      </c>
      <c r="D16" s="23">
        <f t="shared" si="1"/>
        <v>17</v>
      </c>
      <c r="E16" s="23">
        <f t="shared" si="2"/>
        <v>0</v>
      </c>
      <c r="F16" s="23">
        <f t="shared" si="0"/>
        <v>3</v>
      </c>
    </row>
    <row r="17" spans="2:7" x14ac:dyDescent="0.2">
      <c r="B17" s="24">
        <v>44166</v>
      </c>
      <c r="C17" s="47">
        <v>1</v>
      </c>
      <c r="D17" s="11">
        <f t="shared" si="1"/>
        <v>18</v>
      </c>
      <c r="E17" s="11">
        <f t="shared" si="2"/>
        <v>0</v>
      </c>
      <c r="F17" s="11">
        <f t="shared" si="0"/>
        <v>3</v>
      </c>
    </row>
    <row r="18" spans="2:7" x14ac:dyDescent="0.2">
      <c r="B18" s="10" t="s">
        <v>601</v>
      </c>
      <c r="C18" s="48">
        <f>SUM(C6:C17)</f>
        <v>18</v>
      </c>
      <c r="D18" s="10">
        <f>D17</f>
        <v>18</v>
      </c>
      <c r="E18" s="10">
        <v>3</v>
      </c>
      <c r="F18" s="10">
        <f>F17</f>
        <v>3</v>
      </c>
      <c r="G18" s="23"/>
    </row>
  </sheetData>
  <pageMargins left="0.6" right="0.6" top="1" bottom="1" header="0.5" footer="0.5"/>
  <pageSetup orientation="landscape" r:id="rId1"/>
  <headerFooter>
    <oddHeader>&amp;RDraft - Work in Progress</oddHeader>
    <oddFooter>&amp;L&amp;F
&amp;D, &amp;T&amp;C
Page &amp;P of &amp;N&amp;R&amp;A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0CE58-03A8-4E73-B630-53155AC65357}">
  <sheetPr codeName="Sheet8"/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87CFA-E6AB-4961-8420-9338E94FEB08}">
  <sheetPr codeName="Sheet7">
    <pageSetUpPr fitToPage="1"/>
  </sheetPr>
  <dimension ref="B1:AB1584"/>
  <sheetViews>
    <sheetView showGridLines="0" zoomScaleNormal="100" workbookViewId="0">
      <selection activeCell="O6" sqref="O6"/>
    </sheetView>
  </sheetViews>
  <sheetFormatPr baseColWidth="10" defaultColWidth="8.83203125" defaultRowHeight="15" x14ac:dyDescent="0.2"/>
  <cols>
    <col min="1" max="1" width="1.83203125" style="67" customWidth="1"/>
    <col min="2" max="2" width="12.6640625" style="67" bestFit="1" customWidth="1"/>
    <col min="3" max="3" width="14.33203125" style="67" bestFit="1" customWidth="1"/>
    <col min="4" max="5" width="8.5" style="67" bestFit="1" customWidth="1"/>
    <col min="6" max="8" width="9.5" style="67" bestFit="1" customWidth="1"/>
    <col min="9" max="14" width="8.5" style="67" bestFit="1" customWidth="1"/>
    <col min="15" max="15" width="10.1640625" style="67" bestFit="1" customWidth="1"/>
    <col min="16" max="25" width="29.6640625" style="67" bestFit="1" customWidth="1"/>
    <col min="26" max="26" width="34.1640625" style="67" bestFit="1" customWidth="1"/>
    <col min="27" max="28" width="17.1640625" style="67" bestFit="1" customWidth="1"/>
    <col min="29" max="29" width="9.5" style="67" bestFit="1" customWidth="1"/>
    <col min="30" max="30" width="14" style="67" bestFit="1" customWidth="1"/>
    <col min="31" max="31" width="10.5" style="67" bestFit="1" customWidth="1"/>
    <col min="32" max="32" width="13.1640625" style="67" bestFit="1" customWidth="1"/>
    <col min="33" max="33" width="10.83203125" style="67" bestFit="1" customWidth="1"/>
    <col min="34" max="34" width="9.5" style="67" bestFit="1" customWidth="1"/>
    <col min="35" max="35" width="12.83203125" style="67" bestFit="1" customWidth="1"/>
    <col min="36" max="36" width="10.5" style="67" bestFit="1" customWidth="1"/>
    <col min="37" max="37" width="13.1640625" style="67" bestFit="1" customWidth="1"/>
    <col min="38" max="38" width="10.83203125" style="67" bestFit="1" customWidth="1"/>
    <col min="39" max="39" width="9.5" style="67" bestFit="1" customWidth="1"/>
    <col min="40" max="40" width="12.83203125" style="67" bestFit="1" customWidth="1"/>
    <col min="41" max="41" width="10.5" style="67" bestFit="1" customWidth="1"/>
    <col min="42" max="42" width="13.1640625" style="67" bestFit="1" customWidth="1"/>
    <col min="43" max="43" width="10.83203125" style="67" bestFit="1" customWidth="1"/>
    <col min="44" max="44" width="9.5" style="67" bestFit="1" customWidth="1"/>
    <col min="45" max="45" width="12.83203125" style="67" bestFit="1" customWidth="1"/>
    <col min="46" max="46" width="10.5" style="67" bestFit="1" customWidth="1"/>
    <col min="47" max="47" width="13.1640625" style="67" bestFit="1" customWidth="1"/>
    <col min="48" max="48" width="9.5" style="67" bestFit="1" customWidth="1"/>
    <col min="49" max="49" width="12.83203125" style="67" bestFit="1" customWidth="1"/>
    <col min="50" max="50" width="10.5" style="67" bestFit="1" customWidth="1"/>
    <col min="51" max="51" width="13.1640625" style="67" bestFit="1" customWidth="1"/>
    <col min="52" max="52" width="10.83203125" style="67" bestFit="1" customWidth="1"/>
    <col min="53" max="53" width="9.5" style="67" bestFit="1" customWidth="1"/>
    <col min="54" max="54" width="12.83203125" style="67" bestFit="1" customWidth="1"/>
    <col min="55" max="55" width="10.5" style="67" bestFit="1" customWidth="1"/>
    <col min="56" max="56" width="13.1640625" style="67" bestFit="1" customWidth="1"/>
    <col min="57" max="57" width="10.83203125" style="67" bestFit="1" customWidth="1"/>
    <col min="58" max="58" width="9.5" style="67" bestFit="1" customWidth="1"/>
    <col min="59" max="59" width="12.83203125" style="67" bestFit="1" customWidth="1"/>
    <col min="60" max="60" width="10.1640625" style="67" bestFit="1" customWidth="1"/>
    <col min="61" max="91" width="29.6640625" style="67" bestFit="1" customWidth="1"/>
    <col min="92" max="92" width="34.1640625" style="67" bestFit="1" customWidth="1"/>
    <col min="93" max="93" width="17.1640625" style="67" bestFit="1" customWidth="1"/>
    <col min="94" max="16384" width="8.83203125" style="67"/>
  </cols>
  <sheetData>
    <row r="1" spans="2:28" x14ac:dyDescent="0.2">
      <c r="B1" s="8" t="s">
        <v>544</v>
      </c>
    </row>
    <row r="4" spans="2:28" x14ac:dyDescent="0.2">
      <c r="B4" s="19" t="s">
        <v>573</v>
      </c>
      <c r="C4" s="19" t="s">
        <v>551</v>
      </c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</row>
    <row r="5" spans="2:28" x14ac:dyDescent="0.2">
      <c r="B5" s="19" t="s">
        <v>549</v>
      </c>
      <c r="C5" s="22">
        <v>43282</v>
      </c>
      <c r="D5" s="22">
        <v>43313</v>
      </c>
      <c r="E5" s="22">
        <v>43344</v>
      </c>
      <c r="F5" s="22">
        <v>43374</v>
      </c>
      <c r="G5" s="22">
        <v>43405</v>
      </c>
      <c r="H5" s="22">
        <v>43435</v>
      </c>
      <c r="I5" s="22">
        <v>43466</v>
      </c>
      <c r="J5" s="22">
        <v>43497</v>
      </c>
      <c r="K5" s="22">
        <v>43525</v>
      </c>
      <c r="L5" s="22">
        <v>43556</v>
      </c>
      <c r="M5" s="22">
        <v>43586</v>
      </c>
      <c r="N5" s="22">
        <v>43617</v>
      </c>
      <c r="O5" s="67" t="s">
        <v>550</v>
      </c>
      <c r="P5"/>
      <c r="Q5"/>
      <c r="R5"/>
      <c r="S5"/>
      <c r="T5"/>
      <c r="U5"/>
      <c r="V5"/>
      <c r="W5"/>
      <c r="X5"/>
      <c r="Y5"/>
      <c r="Z5"/>
      <c r="AA5"/>
      <c r="AB5"/>
    </row>
    <row r="6" spans="2:28" x14ac:dyDescent="0.2">
      <c r="B6" s="20" t="s">
        <v>510</v>
      </c>
      <c r="C6" s="4">
        <v>7</v>
      </c>
      <c r="D6" s="4">
        <v>8</v>
      </c>
      <c r="E6" s="4">
        <v>11</v>
      </c>
      <c r="F6" s="4">
        <v>6</v>
      </c>
      <c r="G6" s="4">
        <v>6</v>
      </c>
      <c r="H6" s="4">
        <v>2</v>
      </c>
      <c r="I6" s="4">
        <v>5</v>
      </c>
      <c r="J6" s="4">
        <v>2</v>
      </c>
      <c r="K6" s="4">
        <v>8</v>
      </c>
      <c r="L6" s="4">
        <v>2</v>
      </c>
      <c r="M6" s="4">
        <v>4</v>
      </c>
      <c r="N6" s="4">
        <v>5</v>
      </c>
      <c r="O6" s="4">
        <v>66</v>
      </c>
      <c r="P6"/>
      <c r="Q6"/>
      <c r="R6"/>
      <c r="S6"/>
      <c r="T6"/>
      <c r="U6"/>
      <c r="V6"/>
      <c r="W6"/>
      <c r="X6"/>
      <c r="Y6"/>
      <c r="Z6"/>
      <c r="AA6"/>
      <c r="AB6"/>
    </row>
    <row r="7" spans="2:28" x14ac:dyDescent="0.2">
      <c r="B7" s="20" t="s">
        <v>511</v>
      </c>
      <c r="C7" s="4">
        <v>1</v>
      </c>
      <c r="D7" s="4">
        <v>4</v>
      </c>
      <c r="E7" s="4">
        <v>2</v>
      </c>
      <c r="F7" s="4">
        <v>3</v>
      </c>
      <c r="G7" s="4">
        <v>2</v>
      </c>
      <c r="H7" s="4">
        <v>1</v>
      </c>
      <c r="I7" s="4">
        <v>3</v>
      </c>
      <c r="J7" s="4">
        <v>1</v>
      </c>
      <c r="K7" s="4">
        <v>6</v>
      </c>
      <c r="L7" s="4">
        <v>8</v>
      </c>
      <c r="M7" s="4">
        <v>6</v>
      </c>
      <c r="N7" s="4">
        <v>1</v>
      </c>
      <c r="O7" s="4">
        <v>38</v>
      </c>
      <c r="P7"/>
      <c r="Q7"/>
      <c r="R7"/>
      <c r="S7"/>
      <c r="T7"/>
      <c r="U7"/>
      <c r="V7"/>
      <c r="W7"/>
      <c r="X7"/>
      <c r="Y7"/>
      <c r="Z7"/>
      <c r="AA7"/>
      <c r="AB7"/>
    </row>
    <row r="8" spans="2:28" x14ac:dyDescent="0.2">
      <c r="B8" s="20" t="s">
        <v>512</v>
      </c>
      <c r="C8" s="4">
        <v>2</v>
      </c>
      <c r="D8" s="4">
        <v>4</v>
      </c>
      <c r="E8" s="4">
        <v>4</v>
      </c>
      <c r="F8" s="4">
        <v>6</v>
      </c>
      <c r="G8" s="4">
        <v>3</v>
      </c>
      <c r="H8" s="4">
        <v>4</v>
      </c>
      <c r="I8" s="4">
        <v>4</v>
      </c>
      <c r="J8" s="4">
        <v>2</v>
      </c>
      <c r="K8" s="4">
        <v>6</v>
      </c>
      <c r="L8" s="4">
        <v>5</v>
      </c>
      <c r="M8" s="4">
        <v>6</v>
      </c>
      <c r="N8" s="4">
        <v>8</v>
      </c>
      <c r="O8" s="4">
        <v>54</v>
      </c>
      <c r="P8"/>
      <c r="Q8"/>
      <c r="R8"/>
      <c r="S8"/>
      <c r="T8"/>
      <c r="U8"/>
      <c r="V8"/>
      <c r="W8"/>
      <c r="X8"/>
      <c r="Y8"/>
      <c r="Z8"/>
      <c r="AA8"/>
      <c r="AB8"/>
    </row>
    <row r="9" spans="2:28" x14ac:dyDescent="0.2">
      <c r="B9" s="20" t="s">
        <v>513</v>
      </c>
      <c r="C9" s="4">
        <v>2</v>
      </c>
      <c r="D9" s="4">
        <v>2</v>
      </c>
      <c r="E9" s="4">
        <v>2</v>
      </c>
      <c r="F9" s="4">
        <v>1</v>
      </c>
      <c r="G9" s="4">
        <v>1</v>
      </c>
      <c r="H9" s="4">
        <v>1</v>
      </c>
      <c r="I9" s="4">
        <v>2</v>
      </c>
      <c r="J9" s="4">
        <v>7</v>
      </c>
      <c r="K9" s="4">
        <v>5</v>
      </c>
      <c r="L9" s="4">
        <v>8</v>
      </c>
      <c r="M9" s="4">
        <v>2</v>
      </c>
      <c r="N9" s="4">
        <v>2</v>
      </c>
      <c r="O9" s="4">
        <v>35</v>
      </c>
      <c r="P9"/>
      <c r="Q9"/>
      <c r="R9"/>
      <c r="S9"/>
      <c r="T9"/>
      <c r="U9"/>
      <c r="V9"/>
      <c r="W9"/>
      <c r="X9"/>
      <c r="Y9"/>
      <c r="Z9"/>
      <c r="AA9"/>
      <c r="AB9"/>
    </row>
    <row r="10" spans="2:28" x14ac:dyDescent="0.2">
      <c r="B10" s="20" t="s">
        <v>514</v>
      </c>
      <c r="C10" s="4">
        <v>1</v>
      </c>
      <c r="D10" s="4">
        <v>1</v>
      </c>
      <c r="E10" s="4">
        <v>2</v>
      </c>
      <c r="F10" s="4">
        <v>1</v>
      </c>
      <c r="G10" s="4">
        <v>1</v>
      </c>
      <c r="H10" s="4">
        <v>1</v>
      </c>
      <c r="I10" s="4">
        <v>2</v>
      </c>
      <c r="J10" s="4">
        <v>1</v>
      </c>
      <c r="K10" s="4">
        <v>3</v>
      </c>
      <c r="L10" s="4">
        <v>2</v>
      </c>
      <c r="M10" s="4">
        <v>2</v>
      </c>
      <c r="N10" s="4">
        <v>5</v>
      </c>
      <c r="O10" s="4">
        <v>22</v>
      </c>
      <c r="P10"/>
      <c r="Q10"/>
      <c r="R10"/>
      <c r="S10"/>
      <c r="T10"/>
      <c r="U10"/>
      <c r="V10"/>
      <c r="W10"/>
      <c r="X10"/>
      <c r="Y10"/>
      <c r="Z10"/>
      <c r="AA10"/>
      <c r="AB10"/>
    </row>
    <row r="11" spans="2:28" x14ac:dyDescent="0.2">
      <c r="B11" s="20" t="s">
        <v>515</v>
      </c>
      <c r="C11" s="4">
        <v>3</v>
      </c>
      <c r="D11" s="4">
        <v>5</v>
      </c>
      <c r="E11" s="4">
        <v>1</v>
      </c>
      <c r="F11" s="4">
        <v>4</v>
      </c>
      <c r="G11" s="4">
        <v>4</v>
      </c>
      <c r="H11" s="4">
        <v>5</v>
      </c>
      <c r="I11" s="4">
        <v>4</v>
      </c>
      <c r="J11" s="4">
        <v>4</v>
      </c>
      <c r="K11" s="4">
        <v>5</v>
      </c>
      <c r="L11" s="4">
        <v>4</v>
      </c>
      <c r="M11" s="4">
        <v>8</v>
      </c>
      <c r="N11" s="4">
        <v>3</v>
      </c>
      <c r="O11" s="4">
        <v>50</v>
      </c>
      <c r="P11"/>
      <c r="Q11"/>
      <c r="R11"/>
      <c r="S11"/>
      <c r="T11"/>
      <c r="U11"/>
      <c r="V11"/>
      <c r="W11"/>
      <c r="X11"/>
      <c r="Y11"/>
      <c r="Z11"/>
      <c r="AA11"/>
      <c r="AB11"/>
    </row>
    <row r="12" spans="2:28" x14ac:dyDescent="0.2">
      <c r="B12" s="20" t="s">
        <v>516</v>
      </c>
      <c r="C12" s="4">
        <v>6</v>
      </c>
      <c r="D12" s="4">
        <v>7</v>
      </c>
      <c r="E12" s="4">
        <v>4</v>
      </c>
      <c r="F12" s="4">
        <v>4</v>
      </c>
      <c r="G12" s="4">
        <v>5</v>
      </c>
      <c r="H12" s="4">
        <v>9</v>
      </c>
      <c r="I12" s="4">
        <v>2</v>
      </c>
      <c r="J12" s="4">
        <v>1</v>
      </c>
      <c r="K12" s="4">
        <v>2</v>
      </c>
      <c r="L12" s="4">
        <v>6</v>
      </c>
      <c r="M12" s="4">
        <v>2</v>
      </c>
      <c r="N12" s="4">
        <v>6</v>
      </c>
      <c r="O12" s="4">
        <v>54</v>
      </c>
    </row>
    <row r="13" spans="2:28" x14ac:dyDescent="0.2">
      <c r="B13" s="20" t="s">
        <v>517</v>
      </c>
      <c r="C13" s="4">
        <v>5</v>
      </c>
      <c r="D13" s="4">
        <v>3</v>
      </c>
      <c r="E13" s="4">
        <v>5</v>
      </c>
      <c r="F13" s="4">
        <v>7</v>
      </c>
      <c r="G13" s="4">
        <v>1</v>
      </c>
      <c r="H13" s="4">
        <v>5</v>
      </c>
      <c r="I13" s="4">
        <v>6</v>
      </c>
      <c r="J13" s="4">
        <v>2</v>
      </c>
      <c r="K13" s="4">
        <v>6</v>
      </c>
      <c r="L13" s="4">
        <v>2</v>
      </c>
      <c r="M13" s="4">
        <v>2</v>
      </c>
      <c r="N13" s="4">
        <v>1</v>
      </c>
      <c r="O13" s="4">
        <v>45</v>
      </c>
    </row>
    <row r="14" spans="2:28" x14ac:dyDescent="0.2">
      <c r="B14" s="20" t="s">
        <v>518</v>
      </c>
      <c r="C14" s="4">
        <v>6</v>
      </c>
      <c r="D14" s="4">
        <v>3</v>
      </c>
      <c r="E14" s="4">
        <v>7</v>
      </c>
      <c r="F14" s="4">
        <v>7</v>
      </c>
      <c r="G14" s="4">
        <v>7</v>
      </c>
      <c r="H14" s="4">
        <v>5</v>
      </c>
      <c r="I14" s="4">
        <v>2</v>
      </c>
      <c r="J14" s="4">
        <v>2</v>
      </c>
      <c r="K14" s="4">
        <v>3</v>
      </c>
      <c r="L14" s="4">
        <v>2</v>
      </c>
      <c r="M14" s="4">
        <v>2</v>
      </c>
      <c r="N14" s="4">
        <v>2</v>
      </c>
      <c r="O14" s="4">
        <v>48</v>
      </c>
    </row>
    <row r="15" spans="2:28" x14ac:dyDescent="0.2">
      <c r="B15" s="20" t="s">
        <v>519</v>
      </c>
      <c r="C15" s="4">
        <v>1</v>
      </c>
      <c r="D15" s="4">
        <v>1</v>
      </c>
      <c r="E15" s="4">
        <v>1</v>
      </c>
      <c r="F15" s="4">
        <v>4</v>
      </c>
      <c r="G15" s="4">
        <v>3</v>
      </c>
      <c r="H15" s="4">
        <v>5</v>
      </c>
      <c r="I15" s="4">
        <v>1</v>
      </c>
      <c r="J15" s="4">
        <v>5</v>
      </c>
      <c r="K15" s="4">
        <v>5</v>
      </c>
      <c r="L15" s="4">
        <v>3</v>
      </c>
      <c r="M15" s="4">
        <v>2</v>
      </c>
      <c r="N15" s="4">
        <v>3</v>
      </c>
      <c r="O15" s="4">
        <v>34</v>
      </c>
    </row>
    <row r="16" spans="2:28" x14ac:dyDescent="0.2">
      <c r="B16" s="20" t="s">
        <v>520</v>
      </c>
      <c r="C16" s="4">
        <v>2</v>
      </c>
      <c r="D16" s="4">
        <v>5</v>
      </c>
      <c r="E16" s="4">
        <v>1</v>
      </c>
      <c r="F16" s="4">
        <v>5</v>
      </c>
      <c r="G16" s="4">
        <v>2</v>
      </c>
      <c r="H16" s="4">
        <v>8</v>
      </c>
      <c r="I16" s="4">
        <v>3</v>
      </c>
      <c r="J16" s="4">
        <v>7</v>
      </c>
      <c r="K16" s="4">
        <v>5</v>
      </c>
      <c r="L16" s="4">
        <v>5</v>
      </c>
      <c r="M16" s="4">
        <v>6</v>
      </c>
      <c r="N16" s="4">
        <v>1</v>
      </c>
      <c r="O16" s="4">
        <v>50</v>
      </c>
    </row>
    <row r="17" spans="2:15" x14ac:dyDescent="0.2">
      <c r="B17" s="20" t="s">
        <v>521</v>
      </c>
      <c r="C17" s="4">
        <v>1</v>
      </c>
      <c r="D17" s="4">
        <v>2</v>
      </c>
      <c r="E17" s="4">
        <v>1</v>
      </c>
      <c r="F17" s="4">
        <v>2</v>
      </c>
      <c r="G17" s="4">
        <v>4</v>
      </c>
      <c r="H17" s="4">
        <v>4</v>
      </c>
      <c r="I17" s="4">
        <v>1</v>
      </c>
      <c r="J17" s="4">
        <v>2</v>
      </c>
      <c r="K17" s="4">
        <v>3</v>
      </c>
      <c r="L17" s="4">
        <v>6</v>
      </c>
      <c r="M17" s="4">
        <v>2</v>
      </c>
      <c r="N17" s="4">
        <v>2</v>
      </c>
      <c r="O17" s="4">
        <v>30</v>
      </c>
    </row>
    <row r="18" spans="2:15" x14ac:dyDescent="0.2">
      <c r="B18" s="20" t="s">
        <v>550</v>
      </c>
      <c r="C18" s="4">
        <v>37</v>
      </c>
      <c r="D18" s="4">
        <v>45</v>
      </c>
      <c r="E18" s="4">
        <v>41</v>
      </c>
      <c r="F18" s="4">
        <v>50</v>
      </c>
      <c r="G18" s="4">
        <v>39</v>
      </c>
      <c r="H18" s="4">
        <v>50</v>
      </c>
      <c r="I18" s="4">
        <v>35</v>
      </c>
      <c r="J18" s="4">
        <v>36</v>
      </c>
      <c r="K18" s="4">
        <v>57</v>
      </c>
      <c r="L18" s="4">
        <v>53</v>
      </c>
      <c r="M18" s="4">
        <v>44</v>
      </c>
      <c r="N18" s="4">
        <v>39</v>
      </c>
      <c r="O18" s="4">
        <v>526</v>
      </c>
    </row>
    <row r="19" spans="2:15" x14ac:dyDescent="0.2">
      <c r="B19"/>
      <c r="C19"/>
      <c r="D19"/>
      <c r="E19"/>
      <c r="F19"/>
      <c r="G19"/>
      <c r="H19"/>
      <c r="I19"/>
      <c r="J19"/>
      <c r="K19"/>
      <c r="L19"/>
      <c r="M19"/>
      <c r="N19"/>
      <c r="O19"/>
    </row>
    <row r="20" spans="2:15" x14ac:dyDescent="0.2">
      <c r="B20"/>
      <c r="C20"/>
      <c r="D20"/>
      <c r="E20"/>
      <c r="F20"/>
      <c r="G20"/>
      <c r="H20"/>
      <c r="I20"/>
      <c r="J20"/>
      <c r="K20"/>
      <c r="L20"/>
      <c r="M20"/>
      <c r="N20"/>
      <c r="O20"/>
    </row>
    <row r="21" spans="2:15" x14ac:dyDescent="0.2">
      <c r="B21"/>
      <c r="C21"/>
      <c r="D21"/>
      <c r="E21"/>
      <c r="F21"/>
      <c r="G21"/>
      <c r="H21"/>
      <c r="I21"/>
      <c r="J21"/>
      <c r="K21"/>
      <c r="L21"/>
      <c r="M21"/>
      <c r="N21"/>
      <c r="O21"/>
    </row>
    <row r="22" spans="2:15" x14ac:dyDescent="0.2">
      <c r="B22"/>
      <c r="C22"/>
      <c r="D22"/>
      <c r="E22"/>
      <c r="F22"/>
      <c r="G22"/>
      <c r="H22"/>
      <c r="I22"/>
      <c r="J22"/>
      <c r="K22"/>
      <c r="L22"/>
      <c r="M22"/>
      <c r="N22"/>
      <c r="O22"/>
    </row>
    <row r="23" spans="2:15" x14ac:dyDescent="0.2">
      <c r="B23"/>
      <c r="C23"/>
      <c r="D23"/>
      <c r="E23"/>
      <c r="F23"/>
      <c r="G23"/>
      <c r="H23"/>
      <c r="I23"/>
      <c r="J23"/>
      <c r="K23"/>
      <c r="L23"/>
      <c r="M23"/>
      <c r="N23"/>
      <c r="O23"/>
    </row>
    <row r="24" spans="2:15" x14ac:dyDescent="0.2">
      <c r="B24"/>
      <c r="C24"/>
      <c r="D24"/>
      <c r="E24"/>
      <c r="F24"/>
      <c r="G24"/>
      <c r="H24"/>
      <c r="I24"/>
      <c r="J24"/>
      <c r="K24"/>
      <c r="L24"/>
      <c r="M24"/>
      <c r="N24"/>
      <c r="O24"/>
    </row>
    <row r="25" spans="2:15" x14ac:dyDescent="0.2">
      <c r="B25"/>
      <c r="C25"/>
      <c r="D25"/>
      <c r="E25"/>
      <c r="F25"/>
      <c r="G25"/>
      <c r="H25"/>
      <c r="I25"/>
      <c r="J25"/>
      <c r="K25"/>
      <c r="L25"/>
      <c r="M25"/>
      <c r="N25"/>
      <c r="O25"/>
    </row>
    <row r="26" spans="2:15" x14ac:dyDescent="0.2">
      <c r="B26"/>
      <c r="C26"/>
      <c r="D26"/>
      <c r="E26"/>
      <c r="F26"/>
      <c r="G26"/>
      <c r="H26"/>
      <c r="I26"/>
      <c r="J26"/>
      <c r="K26"/>
      <c r="L26"/>
      <c r="M26"/>
      <c r="N26"/>
      <c r="O26"/>
    </row>
    <row r="27" spans="2:15" x14ac:dyDescent="0.2">
      <c r="B27"/>
      <c r="C27"/>
      <c r="D27"/>
      <c r="E27"/>
      <c r="F27"/>
      <c r="G27"/>
      <c r="H27"/>
      <c r="I27"/>
      <c r="J27"/>
      <c r="K27"/>
      <c r="L27"/>
      <c r="M27"/>
      <c r="N27"/>
      <c r="O27"/>
    </row>
    <row r="28" spans="2:15" x14ac:dyDescent="0.2">
      <c r="B28"/>
      <c r="C28"/>
      <c r="D28"/>
      <c r="E28"/>
      <c r="F28"/>
      <c r="G28"/>
      <c r="H28"/>
      <c r="I28"/>
      <c r="J28"/>
      <c r="K28"/>
      <c r="L28"/>
      <c r="M28"/>
      <c r="N28"/>
      <c r="O28"/>
    </row>
    <row r="29" spans="2:15" x14ac:dyDescent="0.2">
      <c r="B29"/>
      <c r="C29"/>
      <c r="D29"/>
      <c r="E29"/>
      <c r="F29"/>
      <c r="G29"/>
      <c r="H29"/>
      <c r="I29"/>
      <c r="J29"/>
      <c r="K29"/>
      <c r="L29"/>
      <c r="M29"/>
      <c r="N29"/>
      <c r="O29"/>
    </row>
    <row r="30" spans="2:15" x14ac:dyDescent="0.2">
      <c r="B30"/>
      <c r="C30"/>
      <c r="D30"/>
      <c r="E30"/>
      <c r="F30"/>
      <c r="G30"/>
      <c r="H30"/>
      <c r="I30"/>
      <c r="J30"/>
      <c r="K30"/>
      <c r="L30"/>
      <c r="M30"/>
      <c r="N30"/>
      <c r="O30"/>
    </row>
    <row r="31" spans="2:15" x14ac:dyDescent="0.2">
      <c r="B31"/>
      <c r="C31"/>
      <c r="D31"/>
      <c r="E31"/>
      <c r="F31"/>
      <c r="G31"/>
      <c r="H31"/>
      <c r="I31"/>
      <c r="J31"/>
      <c r="K31"/>
      <c r="L31"/>
      <c r="M31"/>
      <c r="N31"/>
      <c r="O31"/>
    </row>
    <row r="32" spans="2:15" x14ac:dyDescent="0.2">
      <c r="B32"/>
      <c r="C32"/>
      <c r="D32"/>
      <c r="E32"/>
      <c r="F32"/>
      <c r="G32"/>
      <c r="H32"/>
      <c r="I32"/>
      <c r="J32"/>
      <c r="K32"/>
      <c r="L32"/>
      <c r="M32"/>
      <c r="N32"/>
      <c r="O32"/>
    </row>
    <row r="33" spans="2:15" x14ac:dyDescent="0.2">
      <c r="B33"/>
      <c r="C33"/>
      <c r="D33"/>
      <c r="E33"/>
      <c r="F33"/>
      <c r="G33"/>
      <c r="H33"/>
      <c r="I33"/>
      <c r="J33"/>
      <c r="K33"/>
      <c r="L33"/>
      <c r="M33"/>
      <c r="N33"/>
      <c r="O33"/>
    </row>
    <row r="34" spans="2:15" x14ac:dyDescent="0.2">
      <c r="B34"/>
      <c r="C34"/>
      <c r="D34"/>
      <c r="E34"/>
      <c r="F34"/>
      <c r="G34"/>
      <c r="H34"/>
      <c r="I34"/>
      <c r="J34"/>
      <c r="K34"/>
      <c r="L34"/>
      <c r="M34"/>
      <c r="N34"/>
      <c r="O34"/>
    </row>
    <row r="35" spans="2:15" x14ac:dyDescent="0.2">
      <c r="B35"/>
      <c r="C35"/>
      <c r="D35"/>
      <c r="E35"/>
      <c r="F35"/>
      <c r="G35"/>
      <c r="H35"/>
      <c r="I35"/>
      <c r="J35"/>
      <c r="K35"/>
      <c r="L35"/>
      <c r="M35"/>
      <c r="N35"/>
      <c r="O35"/>
    </row>
    <row r="36" spans="2:15" x14ac:dyDescent="0.2"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2:15" x14ac:dyDescent="0.2"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2:15" x14ac:dyDescent="0.2">
      <c r="B38"/>
      <c r="C38"/>
      <c r="D38"/>
      <c r="E38"/>
      <c r="F38"/>
      <c r="G38"/>
      <c r="H38"/>
      <c r="I38"/>
      <c r="J38"/>
      <c r="K38"/>
      <c r="L38"/>
      <c r="M38"/>
      <c r="N38"/>
      <c r="O38"/>
    </row>
    <row r="39" spans="2:15" x14ac:dyDescent="0.2">
      <c r="B39"/>
      <c r="C39"/>
      <c r="D39"/>
      <c r="E39"/>
      <c r="F39"/>
      <c r="G39"/>
      <c r="H39"/>
      <c r="I39"/>
      <c r="J39"/>
      <c r="K39"/>
      <c r="L39"/>
      <c r="M39"/>
      <c r="N39"/>
      <c r="O39"/>
    </row>
    <row r="40" spans="2:15" x14ac:dyDescent="0.2">
      <c r="B40"/>
      <c r="C40"/>
      <c r="D40"/>
      <c r="E40"/>
      <c r="F40"/>
      <c r="G40"/>
      <c r="H40"/>
      <c r="I40"/>
      <c r="J40"/>
      <c r="K40"/>
      <c r="L40"/>
      <c r="M40"/>
      <c r="N40"/>
      <c r="O40"/>
    </row>
    <row r="41" spans="2:15" x14ac:dyDescent="0.2">
      <c r="B41"/>
      <c r="C41"/>
      <c r="D41"/>
      <c r="E41"/>
      <c r="F41"/>
      <c r="G41"/>
      <c r="H41"/>
      <c r="I41"/>
      <c r="J41"/>
      <c r="K41"/>
      <c r="L41"/>
      <c r="M41"/>
      <c r="N41"/>
      <c r="O41"/>
    </row>
    <row r="42" spans="2:15" x14ac:dyDescent="0.2">
      <c r="B42"/>
      <c r="C42"/>
      <c r="D42"/>
      <c r="E42"/>
      <c r="F42"/>
      <c r="G42"/>
      <c r="H42"/>
      <c r="I42"/>
      <c r="J42"/>
      <c r="K42"/>
      <c r="L42"/>
      <c r="M42"/>
      <c r="N42"/>
      <c r="O42"/>
    </row>
    <row r="43" spans="2:15" x14ac:dyDescent="0.2">
      <c r="B43"/>
      <c r="C43"/>
      <c r="D43"/>
      <c r="E43"/>
      <c r="F43"/>
      <c r="G43"/>
      <c r="H43"/>
      <c r="I43"/>
      <c r="J43"/>
      <c r="K43"/>
      <c r="L43"/>
      <c r="M43"/>
      <c r="N43"/>
      <c r="O43"/>
    </row>
    <row r="44" spans="2:15" x14ac:dyDescent="0.2"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2:15" x14ac:dyDescent="0.2"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2:15" x14ac:dyDescent="0.2"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2:15" x14ac:dyDescent="0.2"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2:15" x14ac:dyDescent="0.2"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2:15" x14ac:dyDescent="0.2"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2:15" x14ac:dyDescent="0.2"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2:15" x14ac:dyDescent="0.2"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2:15" x14ac:dyDescent="0.2"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2:15" x14ac:dyDescent="0.2"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2:15" x14ac:dyDescent="0.2"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2:15" x14ac:dyDescent="0.2"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2:15" x14ac:dyDescent="0.2"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2:15" x14ac:dyDescent="0.2"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2:15" x14ac:dyDescent="0.2"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2:15" x14ac:dyDescent="0.2"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2:15" x14ac:dyDescent="0.2"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2:15" x14ac:dyDescent="0.2"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2:15" x14ac:dyDescent="0.2"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2:15" x14ac:dyDescent="0.2">
      <c r="B63"/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2:15" x14ac:dyDescent="0.2">
      <c r="B64"/>
      <c r="C64"/>
      <c r="D64"/>
      <c r="E64"/>
      <c r="F64"/>
      <c r="G64"/>
      <c r="H64"/>
      <c r="I64"/>
      <c r="J64"/>
      <c r="K64"/>
      <c r="L64"/>
      <c r="M64"/>
      <c r="N64"/>
      <c r="O64"/>
    </row>
    <row r="65" spans="2:15" x14ac:dyDescent="0.2">
      <c r="B65"/>
      <c r="C65"/>
      <c r="D65"/>
      <c r="E65"/>
      <c r="F65"/>
      <c r="G65"/>
      <c r="H65"/>
      <c r="I65"/>
      <c r="J65"/>
      <c r="K65"/>
      <c r="L65"/>
      <c r="M65"/>
      <c r="N65"/>
      <c r="O65"/>
    </row>
    <row r="66" spans="2:15" x14ac:dyDescent="0.2">
      <c r="B66"/>
      <c r="C66"/>
      <c r="D66"/>
      <c r="E66"/>
      <c r="F66"/>
      <c r="G66"/>
      <c r="H66"/>
      <c r="I66"/>
      <c r="J66"/>
      <c r="K66"/>
      <c r="L66"/>
      <c r="M66"/>
      <c r="N66"/>
      <c r="O66"/>
    </row>
    <row r="67" spans="2:15" x14ac:dyDescent="0.2">
      <c r="B67"/>
      <c r="C67"/>
      <c r="D67"/>
      <c r="E67"/>
      <c r="F67"/>
      <c r="G67"/>
      <c r="H67"/>
      <c r="I67"/>
      <c r="J67"/>
      <c r="K67"/>
      <c r="L67"/>
      <c r="M67"/>
      <c r="N67"/>
      <c r="O67"/>
    </row>
    <row r="68" spans="2:15" x14ac:dyDescent="0.2">
      <c r="B68"/>
      <c r="C68"/>
      <c r="D68"/>
      <c r="E68"/>
      <c r="F68"/>
      <c r="G68"/>
      <c r="H68"/>
      <c r="I68"/>
      <c r="J68"/>
      <c r="K68"/>
      <c r="L68"/>
      <c r="M68"/>
      <c r="N68"/>
      <c r="O68"/>
    </row>
    <row r="69" spans="2:15" x14ac:dyDescent="0.2">
      <c r="B69"/>
      <c r="C69"/>
      <c r="D69"/>
      <c r="E69"/>
      <c r="F69"/>
      <c r="G69"/>
      <c r="H69"/>
      <c r="I69"/>
      <c r="J69"/>
      <c r="K69"/>
      <c r="L69"/>
      <c r="M69"/>
      <c r="N69"/>
      <c r="O69"/>
    </row>
    <row r="70" spans="2:15" x14ac:dyDescent="0.2">
      <c r="B70"/>
      <c r="C70"/>
      <c r="D70"/>
      <c r="E70"/>
      <c r="F70"/>
      <c r="G70"/>
      <c r="H70"/>
      <c r="I70"/>
      <c r="J70"/>
      <c r="K70"/>
      <c r="L70"/>
      <c r="M70"/>
      <c r="N70"/>
      <c r="O70"/>
    </row>
    <row r="71" spans="2:15" x14ac:dyDescent="0.2">
      <c r="B71"/>
      <c r="C71"/>
      <c r="D71"/>
      <c r="E71"/>
      <c r="F71"/>
      <c r="G71"/>
      <c r="H71"/>
      <c r="I71"/>
      <c r="J71"/>
      <c r="K71"/>
      <c r="L71"/>
      <c r="M71"/>
      <c r="N71"/>
      <c r="O71"/>
    </row>
    <row r="72" spans="2:15" x14ac:dyDescent="0.2">
      <c r="B72"/>
      <c r="C72"/>
      <c r="D72"/>
      <c r="E72"/>
      <c r="F72"/>
      <c r="G72"/>
      <c r="H72"/>
      <c r="I72"/>
      <c r="J72"/>
      <c r="K72"/>
      <c r="L72"/>
      <c r="M72"/>
      <c r="N72"/>
      <c r="O72"/>
    </row>
    <row r="73" spans="2:15" x14ac:dyDescent="0.2">
      <c r="B73"/>
      <c r="C73"/>
      <c r="D73"/>
      <c r="E73"/>
      <c r="F73"/>
      <c r="G73"/>
      <c r="H73"/>
      <c r="I73"/>
      <c r="J73"/>
      <c r="K73"/>
      <c r="L73"/>
      <c r="M73"/>
      <c r="N73"/>
      <c r="O73"/>
    </row>
    <row r="74" spans="2:15" x14ac:dyDescent="0.2">
      <c r="B74"/>
      <c r="C74"/>
      <c r="D74"/>
      <c r="E74"/>
      <c r="F74"/>
      <c r="G74"/>
      <c r="H74"/>
      <c r="I74"/>
      <c r="J74"/>
      <c r="K74"/>
      <c r="L74"/>
      <c r="M74"/>
      <c r="N74"/>
      <c r="O74"/>
    </row>
    <row r="75" spans="2:15" x14ac:dyDescent="0.2">
      <c r="B75"/>
      <c r="C75"/>
      <c r="D75"/>
      <c r="E75"/>
      <c r="F75"/>
      <c r="G75"/>
      <c r="H75"/>
      <c r="I75"/>
      <c r="J75"/>
      <c r="K75"/>
      <c r="L75"/>
      <c r="M75"/>
      <c r="N75"/>
      <c r="O75"/>
    </row>
    <row r="76" spans="2:15" x14ac:dyDescent="0.2">
      <c r="B76"/>
      <c r="C76"/>
      <c r="D76"/>
      <c r="E76"/>
      <c r="F76"/>
      <c r="G76"/>
      <c r="H76"/>
      <c r="I76"/>
      <c r="J76"/>
      <c r="K76"/>
      <c r="L76"/>
      <c r="M76"/>
      <c r="N76"/>
      <c r="O76"/>
    </row>
    <row r="77" spans="2:15" x14ac:dyDescent="0.2">
      <c r="B77"/>
      <c r="C77"/>
      <c r="D77"/>
      <c r="E77"/>
      <c r="F77"/>
      <c r="G77"/>
      <c r="H77"/>
      <c r="I77"/>
      <c r="J77"/>
      <c r="K77"/>
      <c r="L77"/>
      <c r="M77"/>
      <c r="N77"/>
      <c r="O77"/>
    </row>
    <row r="78" spans="2:15" x14ac:dyDescent="0.2">
      <c r="B78"/>
      <c r="C78"/>
      <c r="D78"/>
      <c r="E78"/>
      <c r="F78"/>
      <c r="G78"/>
      <c r="H78"/>
      <c r="I78"/>
      <c r="J78"/>
      <c r="K78"/>
      <c r="L78"/>
      <c r="M78"/>
      <c r="N78"/>
      <c r="O78"/>
    </row>
    <row r="79" spans="2:15" x14ac:dyDescent="0.2">
      <c r="B79"/>
      <c r="C79"/>
      <c r="D79"/>
      <c r="E79"/>
      <c r="F79"/>
      <c r="G79"/>
      <c r="H79"/>
      <c r="I79"/>
      <c r="J79"/>
      <c r="K79"/>
      <c r="L79"/>
      <c r="M79"/>
      <c r="N79"/>
      <c r="O79"/>
    </row>
    <row r="80" spans="2:15" x14ac:dyDescent="0.2">
      <c r="B80"/>
      <c r="C80"/>
      <c r="D80"/>
      <c r="E80"/>
      <c r="F80"/>
      <c r="G80"/>
      <c r="H80"/>
      <c r="I80"/>
      <c r="J80"/>
      <c r="K80"/>
      <c r="L80"/>
      <c r="M80"/>
      <c r="N80"/>
      <c r="O80"/>
    </row>
    <row r="81" spans="2:15" x14ac:dyDescent="0.2">
      <c r="B81"/>
      <c r="C81"/>
      <c r="D81"/>
      <c r="E81"/>
      <c r="F81"/>
      <c r="G81"/>
      <c r="H81"/>
      <c r="I81"/>
      <c r="J81"/>
      <c r="K81"/>
      <c r="L81"/>
      <c r="M81"/>
      <c r="N81"/>
      <c r="O81"/>
    </row>
    <row r="82" spans="2:15" x14ac:dyDescent="0.2">
      <c r="B82"/>
      <c r="C82"/>
      <c r="D82"/>
      <c r="E82"/>
      <c r="F82"/>
      <c r="G82"/>
      <c r="H82"/>
      <c r="I82"/>
      <c r="J82"/>
      <c r="K82"/>
      <c r="L82"/>
      <c r="M82"/>
      <c r="N82"/>
      <c r="O82"/>
    </row>
    <row r="83" spans="2:15" x14ac:dyDescent="0.2">
      <c r="B83"/>
      <c r="C83"/>
      <c r="D83"/>
      <c r="E83"/>
      <c r="F83"/>
      <c r="G83"/>
      <c r="H83"/>
      <c r="I83"/>
      <c r="J83"/>
      <c r="K83"/>
      <c r="L83"/>
      <c r="M83"/>
      <c r="N83"/>
      <c r="O83"/>
    </row>
    <row r="84" spans="2:15" x14ac:dyDescent="0.2">
      <c r="B84"/>
      <c r="C84"/>
      <c r="D84"/>
      <c r="E84"/>
      <c r="F84"/>
      <c r="G84"/>
      <c r="H84"/>
      <c r="I84"/>
      <c r="J84"/>
      <c r="K84"/>
      <c r="L84"/>
      <c r="M84"/>
      <c r="N84"/>
      <c r="O84"/>
    </row>
    <row r="85" spans="2:15" x14ac:dyDescent="0.2">
      <c r="B85"/>
      <c r="C85"/>
      <c r="D85"/>
      <c r="E85"/>
      <c r="F85"/>
      <c r="G85"/>
      <c r="H85"/>
      <c r="I85"/>
      <c r="J85"/>
      <c r="K85"/>
      <c r="L85"/>
      <c r="M85"/>
      <c r="N85"/>
      <c r="O85"/>
    </row>
    <row r="86" spans="2:15" x14ac:dyDescent="0.2">
      <c r="B86"/>
      <c r="C86"/>
      <c r="D86"/>
      <c r="E86"/>
      <c r="F86"/>
      <c r="G86"/>
      <c r="H86"/>
      <c r="I86"/>
      <c r="J86"/>
      <c r="K86"/>
      <c r="L86"/>
      <c r="M86"/>
      <c r="N86"/>
      <c r="O86"/>
    </row>
    <row r="87" spans="2:15" x14ac:dyDescent="0.2">
      <c r="B87"/>
      <c r="C87"/>
      <c r="D87"/>
      <c r="E87"/>
      <c r="F87"/>
      <c r="G87"/>
      <c r="H87"/>
      <c r="I87"/>
      <c r="J87"/>
      <c r="K87"/>
      <c r="L87"/>
      <c r="M87"/>
      <c r="N87"/>
      <c r="O87"/>
    </row>
    <row r="88" spans="2:15" x14ac:dyDescent="0.2">
      <c r="B88"/>
      <c r="C88"/>
      <c r="D88"/>
      <c r="E88"/>
      <c r="F88"/>
      <c r="G88"/>
      <c r="H88"/>
      <c r="I88"/>
      <c r="J88"/>
      <c r="K88"/>
      <c r="L88"/>
      <c r="M88"/>
      <c r="N88"/>
      <c r="O88"/>
    </row>
    <row r="89" spans="2:15" x14ac:dyDescent="0.2">
      <c r="B89"/>
      <c r="C89"/>
      <c r="D89"/>
      <c r="E89"/>
      <c r="F89"/>
      <c r="G89"/>
      <c r="H89"/>
      <c r="I89"/>
      <c r="J89"/>
      <c r="K89"/>
      <c r="L89"/>
      <c r="M89"/>
      <c r="N89"/>
      <c r="O89"/>
    </row>
    <row r="90" spans="2:15" x14ac:dyDescent="0.2">
      <c r="B90"/>
      <c r="C90"/>
      <c r="D90"/>
      <c r="E90"/>
      <c r="F90"/>
      <c r="G90"/>
      <c r="H90"/>
      <c r="I90"/>
      <c r="J90"/>
      <c r="K90"/>
      <c r="L90"/>
      <c r="M90"/>
      <c r="N90"/>
      <c r="O90"/>
    </row>
    <row r="91" spans="2:15" x14ac:dyDescent="0.2">
      <c r="B91"/>
      <c r="C91"/>
      <c r="D91"/>
      <c r="E91"/>
      <c r="F91"/>
      <c r="G91"/>
      <c r="H91"/>
      <c r="I91"/>
      <c r="J91"/>
      <c r="K91"/>
      <c r="L91"/>
      <c r="M91"/>
      <c r="N91"/>
      <c r="O91"/>
    </row>
    <row r="92" spans="2:15" x14ac:dyDescent="0.2">
      <c r="B92"/>
      <c r="C92"/>
      <c r="D92"/>
      <c r="E92"/>
      <c r="F92"/>
      <c r="G92"/>
      <c r="H92"/>
      <c r="I92"/>
      <c r="J92"/>
      <c r="K92"/>
      <c r="L92"/>
      <c r="M92"/>
      <c r="N92"/>
      <c r="O92"/>
    </row>
    <row r="93" spans="2:15" x14ac:dyDescent="0.2">
      <c r="B93"/>
      <c r="C93"/>
      <c r="D93"/>
      <c r="E93"/>
      <c r="F93"/>
      <c r="G93"/>
      <c r="H93"/>
      <c r="I93"/>
      <c r="J93"/>
      <c r="K93"/>
      <c r="L93"/>
      <c r="M93"/>
      <c r="N93"/>
      <c r="O93"/>
    </row>
    <row r="94" spans="2:15" x14ac:dyDescent="0.2">
      <c r="B94"/>
      <c r="C94"/>
      <c r="D94"/>
      <c r="E94"/>
      <c r="F94"/>
      <c r="G94"/>
      <c r="H94"/>
      <c r="I94"/>
      <c r="J94"/>
      <c r="K94"/>
      <c r="L94"/>
      <c r="M94"/>
      <c r="N94"/>
      <c r="O94"/>
    </row>
    <row r="95" spans="2:15" x14ac:dyDescent="0.2">
      <c r="B95"/>
      <c r="C95"/>
      <c r="D95"/>
      <c r="E95"/>
      <c r="F95"/>
      <c r="G95"/>
      <c r="H95"/>
      <c r="I95"/>
      <c r="J95"/>
      <c r="K95"/>
      <c r="L95"/>
      <c r="M95"/>
      <c r="N95"/>
      <c r="O95"/>
    </row>
    <row r="96" spans="2:15" x14ac:dyDescent="0.2">
      <c r="B96"/>
      <c r="C96"/>
      <c r="D96"/>
      <c r="E96"/>
      <c r="F96"/>
      <c r="G96"/>
      <c r="H96"/>
      <c r="I96"/>
      <c r="J96"/>
      <c r="K96"/>
      <c r="L96"/>
      <c r="M96"/>
      <c r="N96"/>
      <c r="O96"/>
    </row>
    <row r="97" spans="2:15" x14ac:dyDescent="0.2">
      <c r="B97"/>
      <c r="C97"/>
      <c r="D97"/>
      <c r="E97"/>
      <c r="F97"/>
      <c r="G97"/>
      <c r="H97"/>
      <c r="I97"/>
      <c r="J97"/>
      <c r="K97"/>
      <c r="L97"/>
      <c r="M97"/>
      <c r="N97"/>
      <c r="O97"/>
    </row>
    <row r="98" spans="2:15" x14ac:dyDescent="0.2">
      <c r="B98"/>
      <c r="C98"/>
      <c r="D98"/>
      <c r="E98"/>
      <c r="F98"/>
      <c r="G98"/>
      <c r="H98"/>
      <c r="I98"/>
      <c r="J98"/>
      <c r="K98"/>
      <c r="L98"/>
      <c r="M98"/>
      <c r="N98"/>
      <c r="O98"/>
    </row>
    <row r="99" spans="2:15" x14ac:dyDescent="0.2">
      <c r="B99"/>
      <c r="C99"/>
      <c r="D99"/>
      <c r="E99"/>
      <c r="F99"/>
      <c r="G99"/>
      <c r="H99"/>
      <c r="I99"/>
      <c r="J99"/>
      <c r="K99"/>
      <c r="L99"/>
      <c r="M99"/>
      <c r="N99"/>
      <c r="O99"/>
    </row>
    <row r="100" spans="2:15" x14ac:dyDescent="0.2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</row>
    <row r="101" spans="2:15" x14ac:dyDescent="0.2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</row>
    <row r="102" spans="2:15" x14ac:dyDescent="0.2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</row>
    <row r="103" spans="2:15" x14ac:dyDescent="0.2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</row>
    <row r="104" spans="2:15" x14ac:dyDescent="0.2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</row>
    <row r="105" spans="2:15" x14ac:dyDescent="0.2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</row>
    <row r="106" spans="2:15" x14ac:dyDescent="0.2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</row>
    <row r="107" spans="2:15" x14ac:dyDescent="0.2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</row>
    <row r="108" spans="2:15" x14ac:dyDescent="0.2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</row>
    <row r="109" spans="2:15" x14ac:dyDescent="0.2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</row>
    <row r="110" spans="2:15" x14ac:dyDescent="0.2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</row>
    <row r="111" spans="2:15" x14ac:dyDescent="0.2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</row>
    <row r="112" spans="2:15" x14ac:dyDescent="0.2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</row>
    <row r="113" spans="2:15" x14ac:dyDescent="0.2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</row>
    <row r="114" spans="2:15" x14ac:dyDescent="0.2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</row>
    <row r="115" spans="2:15" x14ac:dyDescent="0.2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</row>
    <row r="116" spans="2:15" x14ac:dyDescent="0.2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</row>
    <row r="117" spans="2:15" x14ac:dyDescent="0.2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</row>
    <row r="118" spans="2:15" x14ac:dyDescent="0.2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</row>
    <row r="119" spans="2:15" x14ac:dyDescent="0.2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</row>
    <row r="120" spans="2:15" x14ac:dyDescent="0.2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</row>
    <row r="121" spans="2:15" x14ac:dyDescent="0.2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</row>
    <row r="122" spans="2:15" x14ac:dyDescent="0.2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</row>
    <row r="123" spans="2:15" x14ac:dyDescent="0.2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</row>
    <row r="124" spans="2:15" x14ac:dyDescent="0.2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</row>
    <row r="125" spans="2:15" x14ac:dyDescent="0.2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</row>
    <row r="126" spans="2:15" x14ac:dyDescent="0.2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</row>
    <row r="127" spans="2:15" x14ac:dyDescent="0.2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</row>
    <row r="128" spans="2:15" x14ac:dyDescent="0.2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</row>
    <row r="129" spans="2:15" x14ac:dyDescent="0.2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</row>
    <row r="130" spans="2:15" x14ac:dyDescent="0.2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</row>
    <row r="131" spans="2:15" x14ac:dyDescent="0.2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</row>
    <row r="132" spans="2:15" x14ac:dyDescent="0.2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</row>
    <row r="133" spans="2:15" x14ac:dyDescent="0.2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</row>
    <row r="134" spans="2:15" x14ac:dyDescent="0.2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</row>
    <row r="135" spans="2:15" x14ac:dyDescent="0.2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</row>
    <row r="136" spans="2:15" x14ac:dyDescent="0.2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</row>
    <row r="137" spans="2:15" x14ac:dyDescent="0.2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</row>
    <row r="138" spans="2:15" x14ac:dyDescent="0.2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</row>
    <row r="139" spans="2:15" x14ac:dyDescent="0.2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</row>
    <row r="140" spans="2:15" x14ac:dyDescent="0.2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</row>
    <row r="141" spans="2:15" x14ac:dyDescent="0.2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</row>
    <row r="142" spans="2:15" x14ac:dyDescent="0.2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</row>
    <row r="143" spans="2:15" x14ac:dyDescent="0.2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</row>
    <row r="144" spans="2:15" x14ac:dyDescent="0.2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</row>
    <row r="145" spans="2:15" x14ac:dyDescent="0.2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</row>
    <row r="146" spans="2:15" x14ac:dyDescent="0.2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</row>
    <row r="147" spans="2:15" x14ac:dyDescent="0.2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</row>
    <row r="148" spans="2:15" x14ac:dyDescent="0.2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</row>
    <row r="149" spans="2:15" x14ac:dyDescent="0.2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</row>
    <row r="150" spans="2:15" x14ac:dyDescent="0.2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</row>
    <row r="151" spans="2:15" x14ac:dyDescent="0.2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</row>
    <row r="152" spans="2:15" x14ac:dyDescent="0.2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</row>
    <row r="153" spans="2:15" x14ac:dyDescent="0.2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</row>
    <row r="154" spans="2:15" x14ac:dyDescent="0.2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</row>
    <row r="155" spans="2:15" x14ac:dyDescent="0.2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</row>
    <row r="156" spans="2:15" x14ac:dyDescent="0.2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</row>
    <row r="157" spans="2:15" x14ac:dyDescent="0.2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</row>
    <row r="158" spans="2:15" x14ac:dyDescent="0.2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</row>
    <row r="159" spans="2:15" x14ac:dyDescent="0.2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</row>
    <row r="160" spans="2:15" x14ac:dyDescent="0.2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</row>
    <row r="161" spans="2:15" x14ac:dyDescent="0.2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</row>
    <row r="162" spans="2:15" x14ac:dyDescent="0.2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</row>
    <row r="163" spans="2:15" x14ac:dyDescent="0.2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</row>
    <row r="164" spans="2:15" x14ac:dyDescent="0.2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</row>
    <row r="165" spans="2:15" x14ac:dyDescent="0.2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</row>
    <row r="166" spans="2:15" x14ac:dyDescent="0.2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</row>
    <row r="167" spans="2:15" x14ac:dyDescent="0.2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</row>
    <row r="168" spans="2:15" x14ac:dyDescent="0.2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</row>
    <row r="169" spans="2:15" x14ac:dyDescent="0.2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</row>
    <row r="170" spans="2:15" x14ac:dyDescent="0.2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</row>
    <row r="171" spans="2:15" x14ac:dyDescent="0.2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</row>
    <row r="172" spans="2:15" x14ac:dyDescent="0.2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</row>
    <row r="173" spans="2:15" x14ac:dyDescent="0.2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</row>
    <row r="174" spans="2:15" x14ac:dyDescent="0.2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</row>
    <row r="175" spans="2:15" x14ac:dyDescent="0.2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</row>
    <row r="176" spans="2:15" x14ac:dyDescent="0.2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</row>
    <row r="177" spans="2:15" x14ac:dyDescent="0.2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</row>
    <row r="178" spans="2:15" x14ac:dyDescent="0.2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</row>
    <row r="179" spans="2:15" x14ac:dyDescent="0.2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</row>
    <row r="180" spans="2:15" x14ac:dyDescent="0.2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</row>
    <row r="181" spans="2:15" x14ac:dyDescent="0.2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</row>
    <row r="182" spans="2:15" x14ac:dyDescent="0.2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</row>
    <row r="183" spans="2:15" x14ac:dyDescent="0.2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</row>
    <row r="184" spans="2:15" x14ac:dyDescent="0.2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</row>
    <row r="185" spans="2:15" x14ac:dyDescent="0.2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</row>
    <row r="186" spans="2:15" x14ac:dyDescent="0.2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</row>
    <row r="187" spans="2:15" x14ac:dyDescent="0.2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</row>
    <row r="188" spans="2:15" x14ac:dyDescent="0.2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</row>
    <row r="189" spans="2:15" x14ac:dyDescent="0.2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</row>
    <row r="190" spans="2:15" x14ac:dyDescent="0.2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</row>
    <row r="191" spans="2:15" x14ac:dyDescent="0.2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</row>
    <row r="192" spans="2:15" x14ac:dyDescent="0.2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</row>
    <row r="193" spans="2:15" x14ac:dyDescent="0.2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</row>
    <row r="194" spans="2:15" x14ac:dyDescent="0.2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</row>
    <row r="195" spans="2:15" x14ac:dyDescent="0.2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</row>
    <row r="196" spans="2:15" x14ac:dyDescent="0.2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</row>
    <row r="197" spans="2:15" x14ac:dyDescent="0.2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</row>
    <row r="198" spans="2:15" x14ac:dyDescent="0.2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</row>
    <row r="199" spans="2:15" x14ac:dyDescent="0.2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</row>
    <row r="200" spans="2:15" x14ac:dyDescent="0.2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</row>
    <row r="201" spans="2:15" x14ac:dyDescent="0.2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</row>
    <row r="202" spans="2:15" x14ac:dyDescent="0.2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</row>
    <row r="203" spans="2:15" x14ac:dyDescent="0.2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</row>
    <row r="204" spans="2:15" x14ac:dyDescent="0.2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</row>
    <row r="205" spans="2:15" x14ac:dyDescent="0.2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</row>
    <row r="206" spans="2:15" x14ac:dyDescent="0.2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</row>
    <row r="207" spans="2:15" x14ac:dyDescent="0.2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</row>
    <row r="208" spans="2:15" x14ac:dyDescent="0.2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</row>
    <row r="209" spans="2:15" x14ac:dyDescent="0.2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</row>
    <row r="210" spans="2:15" x14ac:dyDescent="0.2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</row>
    <row r="211" spans="2:15" x14ac:dyDescent="0.2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</row>
    <row r="212" spans="2:15" x14ac:dyDescent="0.2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</row>
    <row r="213" spans="2:15" x14ac:dyDescent="0.2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</row>
    <row r="214" spans="2:15" x14ac:dyDescent="0.2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</row>
    <row r="215" spans="2:15" x14ac:dyDescent="0.2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</row>
    <row r="216" spans="2:15" x14ac:dyDescent="0.2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</row>
    <row r="217" spans="2:15" x14ac:dyDescent="0.2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</row>
    <row r="218" spans="2:15" x14ac:dyDescent="0.2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</row>
    <row r="219" spans="2:15" x14ac:dyDescent="0.2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</row>
    <row r="220" spans="2:15" x14ac:dyDescent="0.2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</row>
    <row r="221" spans="2:15" x14ac:dyDescent="0.2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</row>
    <row r="222" spans="2:15" x14ac:dyDescent="0.2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</row>
    <row r="223" spans="2:15" x14ac:dyDescent="0.2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</row>
    <row r="224" spans="2:15" x14ac:dyDescent="0.2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</row>
    <row r="225" spans="2:15" x14ac:dyDescent="0.2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</row>
    <row r="226" spans="2:15" x14ac:dyDescent="0.2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</row>
    <row r="227" spans="2:15" x14ac:dyDescent="0.2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</row>
    <row r="228" spans="2:15" x14ac:dyDescent="0.2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</row>
    <row r="229" spans="2:15" x14ac:dyDescent="0.2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</row>
    <row r="230" spans="2:15" x14ac:dyDescent="0.2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</row>
    <row r="231" spans="2:15" x14ac:dyDescent="0.2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</row>
    <row r="232" spans="2:15" x14ac:dyDescent="0.2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</row>
    <row r="233" spans="2:15" x14ac:dyDescent="0.2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</row>
    <row r="234" spans="2:15" x14ac:dyDescent="0.2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</row>
    <row r="235" spans="2:15" x14ac:dyDescent="0.2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</row>
    <row r="236" spans="2:15" x14ac:dyDescent="0.2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</row>
    <row r="237" spans="2:15" x14ac:dyDescent="0.2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</row>
    <row r="238" spans="2:15" x14ac:dyDescent="0.2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</row>
    <row r="239" spans="2:15" x14ac:dyDescent="0.2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</row>
    <row r="240" spans="2:15" x14ac:dyDescent="0.2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</row>
    <row r="241" spans="2:15" x14ac:dyDescent="0.2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</row>
    <row r="242" spans="2:15" x14ac:dyDescent="0.2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</row>
    <row r="243" spans="2:15" x14ac:dyDescent="0.2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</row>
    <row r="244" spans="2:15" x14ac:dyDescent="0.2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</row>
    <row r="245" spans="2:15" x14ac:dyDescent="0.2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</row>
    <row r="246" spans="2:15" x14ac:dyDescent="0.2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</row>
    <row r="247" spans="2:15" x14ac:dyDescent="0.2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</row>
    <row r="248" spans="2:15" x14ac:dyDescent="0.2"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</row>
    <row r="249" spans="2:15" x14ac:dyDescent="0.2"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</row>
    <row r="250" spans="2:15" x14ac:dyDescent="0.2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</row>
    <row r="251" spans="2:15" x14ac:dyDescent="0.2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</row>
    <row r="252" spans="2:15" x14ac:dyDescent="0.2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</row>
    <row r="253" spans="2:15" x14ac:dyDescent="0.2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</row>
    <row r="254" spans="2:15" x14ac:dyDescent="0.2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</row>
    <row r="255" spans="2:15" x14ac:dyDescent="0.2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</row>
    <row r="256" spans="2:15" x14ac:dyDescent="0.2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</row>
    <row r="257" spans="2:15" x14ac:dyDescent="0.2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</row>
    <row r="258" spans="2:15" x14ac:dyDescent="0.2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</row>
    <row r="259" spans="2:15" x14ac:dyDescent="0.2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</row>
    <row r="260" spans="2:15" x14ac:dyDescent="0.2"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</row>
    <row r="261" spans="2:15" x14ac:dyDescent="0.2"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</row>
    <row r="262" spans="2:15" x14ac:dyDescent="0.2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</row>
    <row r="263" spans="2:15" x14ac:dyDescent="0.2"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</row>
    <row r="264" spans="2:15" x14ac:dyDescent="0.2"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</row>
    <row r="265" spans="2:15" x14ac:dyDescent="0.2"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</row>
    <row r="266" spans="2:15" x14ac:dyDescent="0.2"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</row>
    <row r="267" spans="2:15" x14ac:dyDescent="0.2"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</row>
    <row r="268" spans="2:15" x14ac:dyDescent="0.2"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</row>
    <row r="269" spans="2:15" x14ac:dyDescent="0.2"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</row>
    <row r="270" spans="2:15" x14ac:dyDescent="0.2"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</row>
    <row r="271" spans="2:15" x14ac:dyDescent="0.2"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</row>
    <row r="272" spans="2:15" x14ac:dyDescent="0.2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</row>
    <row r="273" spans="2:15" x14ac:dyDescent="0.2"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</row>
    <row r="274" spans="2:15" x14ac:dyDescent="0.2"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</row>
    <row r="275" spans="2:15" x14ac:dyDescent="0.2"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</row>
    <row r="276" spans="2:15" x14ac:dyDescent="0.2"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</row>
    <row r="277" spans="2:15" x14ac:dyDescent="0.2"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</row>
    <row r="278" spans="2:15" x14ac:dyDescent="0.2"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</row>
    <row r="279" spans="2:15" x14ac:dyDescent="0.2"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</row>
    <row r="280" spans="2:15" x14ac:dyDescent="0.2"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</row>
    <row r="281" spans="2:15" x14ac:dyDescent="0.2"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</row>
    <row r="282" spans="2:15" x14ac:dyDescent="0.2"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</row>
    <row r="283" spans="2:15" x14ac:dyDescent="0.2"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</row>
    <row r="284" spans="2:15" x14ac:dyDescent="0.2"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</row>
    <row r="285" spans="2:15" x14ac:dyDescent="0.2"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</row>
    <row r="286" spans="2:15" x14ac:dyDescent="0.2"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</row>
    <row r="287" spans="2:15" x14ac:dyDescent="0.2"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</row>
    <row r="288" spans="2:15" x14ac:dyDescent="0.2"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</row>
    <row r="289" spans="2:15" x14ac:dyDescent="0.2"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</row>
    <row r="290" spans="2:15" x14ac:dyDescent="0.2"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</row>
    <row r="291" spans="2:15" x14ac:dyDescent="0.2"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</row>
    <row r="292" spans="2:15" x14ac:dyDescent="0.2"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</row>
    <row r="293" spans="2:15" x14ac:dyDescent="0.2"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</row>
    <row r="294" spans="2:15" x14ac:dyDescent="0.2"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</row>
    <row r="295" spans="2:15" x14ac:dyDescent="0.2"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</row>
    <row r="296" spans="2:15" x14ac:dyDescent="0.2"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</row>
    <row r="297" spans="2:15" x14ac:dyDescent="0.2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</row>
    <row r="298" spans="2:15" x14ac:dyDescent="0.2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</row>
    <row r="299" spans="2:15" x14ac:dyDescent="0.2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</row>
    <row r="300" spans="2:15" x14ac:dyDescent="0.2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</row>
    <row r="301" spans="2:15" x14ac:dyDescent="0.2"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</row>
    <row r="302" spans="2:15" x14ac:dyDescent="0.2"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</row>
    <row r="303" spans="2:15" x14ac:dyDescent="0.2"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</row>
    <row r="304" spans="2:15" x14ac:dyDescent="0.2"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</row>
    <row r="305" spans="2:15" x14ac:dyDescent="0.2"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</row>
    <row r="306" spans="2:15" x14ac:dyDescent="0.2"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</row>
    <row r="307" spans="2:15" x14ac:dyDescent="0.2"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</row>
    <row r="308" spans="2:15" x14ac:dyDescent="0.2"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</row>
    <row r="309" spans="2:15" x14ac:dyDescent="0.2"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</row>
    <row r="310" spans="2:15" x14ac:dyDescent="0.2"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</row>
    <row r="311" spans="2:15" x14ac:dyDescent="0.2"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</row>
    <row r="312" spans="2:15" x14ac:dyDescent="0.2"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</row>
    <row r="313" spans="2:15" x14ac:dyDescent="0.2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</row>
    <row r="314" spans="2:15" x14ac:dyDescent="0.2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</row>
    <row r="315" spans="2:15" x14ac:dyDescent="0.2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</row>
    <row r="316" spans="2:15" x14ac:dyDescent="0.2"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</row>
    <row r="317" spans="2:15" x14ac:dyDescent="0.2"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</row>
    <row r="318" spans="2:15" x14ac:dyDescent="0.2"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</row>
    <row r="319" spans="2:15" x14ac:dyDescent="0.2"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</row>
    <row r="320" spans="2:15" x14ac:dyDescent="0.2"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</row>
    <row r="321" spans="2:15" x14ac:dyDescent="0.2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</row>
    <row r="322" spans="2:15" x14ac:dyDescent="0.2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</row>
    <row r="323" spans="2:15" x14ac:dyDescent="0.2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</row>
    <row r="324" spans="2:15" x14ac:dyDescent="0.2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</row>
    <row r="325" spans="2:15" x14ac:dyDescent="0.2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</row>
    <row r="326" spans="2:15" x14ac:dyDescent="0.2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</row>
    <row r="327" spans="2:15" x14ac:dyDescent="0.2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</row>
    <row r="328" spans="2:15" x14ac:dyDescent="0.2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</row>
    <row r="329" spans="2:15" x14ac:dyDescent="0.2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</row>
    <row r="330" spans="2:15" x14ac:dyDescent="0.2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</row>
    <row r="331" spans="2:15" x14ac:dyDescent="0.2"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</row>
    <row r="332" spans="2:15" x14ac:dyDescent="0.2"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</row>
    <row r="333" spans="2:15" x14ac:dyDescent="0.2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</row>
    <row r="334" spans="2:15" x14ac:dyDescent="0.2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</row>
    <row r="335" spans="2:15" x14ac:dyDescent="0.2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</row>
    <row r="336" spans="2:15" x14ac:dyDescent="0.2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</row>
    <row r="337" spans="2:15" x14ac:dyDescent="0.2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</row>
    <row r="338" spans="2:15" x14ac:dyDescent="0.2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</row>
    <row r="339" spans="2:15" x14ac:dyDescent="0.2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</row>
    <row r="340" spans="2:15" x14ac:dyDescent="0.2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</row>
    <row r="341" spans="2:15" x14ac:dyDescent="0.2"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</row>
    <row r="342" spans="2:15" x14ac:dyDescent="0.2"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</row>
    <row r="343" spans="2:15" x14ac:dyDescent="0.2"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</row>
    <row r="344" spans="2:15" x14ac:dyDescent="0.2"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</row>
    <row r="345" spans="2:15" x14ac:dyDescent="0.2"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</row>
    <row r="346" spans="2:15" x14ac:dyDescent="0.2"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</row>
    <row r="347" spans="2:15" x14ac:dyDescent="0.2"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</row>
    <row r="348" spans="2:15" x14ac:dyDescent="0.2"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</row>
    <row r="349" spans="2:15" x14ac:dyDescent="0.2"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</row>
    <row r="350" spans="2:15" x14ac:dyDescent="0.2"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</row>
    <row r="351" spans="2:15" x14ac:dyDescent="0.2"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</row>
    <row r="352" spans="2:15" x14ac:dyDescent="0.2"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</row>
    <row r="353" spans="2:15" x14ac:dyDescent="0.2"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</row>
    <row r="354" spans="2:15" x14ac:dyDescent="0.2"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</row>
    <row r="355" spans="2:15" x14ac:dyDescent="0.2"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</row>
    <row r="356" spans="2:15" x14ac:dyDescent="0.2"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</row>
    <row r="357" spans="2:15" x14ac:dyDescent="0.2"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</row>
    <row r="358" spans="2:15" x14ac:dyDescent="0.2"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</row>
    <row r="359" spans="2:15" x14ac:dyDescent="0.2"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</row>
    <row r="360" spans="2:15" x14ac:dyDescent="0.2"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</row>
    <row r="361" spans="2:15" x14ac:dyDescent="0.2"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</row>
    <row r="362" spans="2:15" x14ac:dyDescent="0.2"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</row>
    <row r="363" spans="2:15" x14ac:dyDescent="0.2"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</row>
    <row r="364" spans="2:15" x14ac:dyDescent="0.2"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</row>
    <row r="365" spans="2:15" x14ac:dyDescent="0.2"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</row>
    <row r="366" spans="2:15" x14ac:dyDescent="0.2"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</row>
    <row r="367" spans="2:15" x14ac:dyDescent="0.2"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</row>
    <row r="368" spans="2:15" x14ac:dyDescent="0.2"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</row>
    <row r="369" spans="2:15" x14ac:dyDescent="0.2"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</row>
    <row r="370" spans="2:15" x14ac:dyDescent="0.2"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</row>
    <row r="371" spans="2:15" x14ac:dyDescent="0.2"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</row>
    <row r="372" spans="2:15" x14ac:dyDescent="0.2"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</row>
    <row r="373" spans="2:15" x14ac:dyDescent="0.2"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</row>
    <row r="374" spans="2:15" x14ac:dyDescent="0.2"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</row>
    <row r="375" spans="2:15" x14ac:dyDescent="0.2"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</row>
    <row r="376" spans="2:15" x14ac:dyDescent="0.2"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</row>
    <row r="377" spans="2:15" x14ac:dyDescent="0.2"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</row>
    <row r="378" spans="2:15" x14ac:dyDescent="0.2"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</row>
    <row r="379" spans="2:15" x14ac:dyDescent="0.2"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</row>
    <row r="380" spans="2:15" x14ac:dyDescent="0.2"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</row>
    <row r="381" spans="2:15" x14ac:dyDescent="0.2"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</row>
    <row r="382" spans="2:15" x14ac:dyDescent="0.2"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</row>
    <row r="383" spans="2:15" x14ac:dyDescent="0.2"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</row>
    <row r="384" spans="2:15" x14ac:dyDescent="0.2"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</row>
    <row r="385" spans="2:15" x14ac:dyDescent="0.2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</row>
    <row r="386" spans="2:15" x14ac:dyDescent="0.2"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</row>
    <row r="387" spans="2:15" x14ac:dyDescent="0.2"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</row>
    <row r="388" spans="2:15" x14ac:dyDescent="0.2"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</row>
    <row r="389" spans="2:15" x14ac:dyDescent="0.2"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</row>
    <row r="390" spans="2:15" x14ac:dyDescent="0.2"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</row>
    <row r="391" spans="2:15" x14ac:dyDescent="0.2"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</row>
    <row r="392" spans="2:15" x14ac:dyDescent="0.2"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</row>
    <row r="393" spans="2:15" x14ac:dyDescent="0.2"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</row>
    <row r="394" spans="2:15" x14ac:dyDescent="0.2"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</row>
    <row r="395" spans="2:15" x14ac:dyDescent="0.2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</row>
    <row r="396" spans="2:15" x14ac:dyDescent="0.2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</row>
    <row r="397" spans="2:15" x14ac:dyDescent="0.2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</row>
    <row r="398" spans="2:15" x14ac:dyDescent="0.2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</row>
    <row r="399" spans="2:15" x14ac:dyDescent="0.2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</row>
    <row r="400" spans="2:15" x14ac:dyDescent="0.2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</row>
    <row r="401" spans="2:15" x14ac:dyDescent="0.2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</row>
    <row r="402" spans="2:15" x14ac:dyDescent="0.2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</row>
    <row r="403" spans="2:15" x14ac:dyDescent="0.2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</row>
    <row r="404" spans="2:15" x14ac:dyDescent="0.2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</row>
    <row r="405" spans="2:15" x14ac:dyDescent="0.2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</row>
    <row r="406" spans="2:15" x14ac:dyDescent="0.2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</row>
    <row r="407" spans="2:15" x14ac:dyDescent="0.2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</row>
    <row r="408" spans="2:15" x14ac:dyDescent="0.2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</row>
    <row r="409" spans="2:15" x14ac:dyDescent="0.2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</row>
    <row r="410" spans="2:15" x14ac:dyDescent="0.2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</row>
    <row r="411" spans="2:15" x14ac:dyDescent="0.2"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</row>
    <row r="412" spans="2:15" x14ac:dyDescent="0.2"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</row>
    <row r="413" spans="2:15" x14ac:dyDescent="0.2"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</row>
    <row r="414" spans="2:15" x14ac:dyDescent="0.2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</row>
    <row r="415" spans="2:15" x14ac:dyDescent="0.2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</row>
    <row r="416" spans="2:15" x14ac:dyDescent="0.2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</row>
    <row r="417" spans="2:15" x14ac:dyDescent="0.2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</row>
    <row r="418" spans="2:15" x14ac:dyDescent="0.2"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</row>
    <row r="419" spans="2:15" x14ac:dyDescent="0.2"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</row>
    <row r="420" spans="2:15" x14ac:dyDescent="0.2"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</row>
    <row r="421" spans="2:15" x14ac:dyDescent="0.2"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</row>
    <row r="422" spans="2:15" x14ac:dyDescent="0.2"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</row>
    <row r="423" spans="2:15" x14ac:dyDescent="0.2"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</row>
    <row r="424" spans="2:15" x14ac:dyDescent="0.2"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</row>
    <row r="425" spans="2:15" x14ac:dyDescent="0.2"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</row>
    <row r="426" spans="2:15" x14ac:dyDescent="0.2"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</row>
    <row r="427" spans="2:15" x14ac:dyDescent="0.2"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</row>
    <row r="428" spans="2:15" x14ac:dyDescent="0.2"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</row>
    <row r="429" spans="2:15" x14ac:dyDescent="0.2"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</row>
    <row r="430" spans="2:15" x14ac:dyDescent="0.2"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</row>
    <row r="431" spans="2:15" x14ac:dyDescent="0.2"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</row>
    <row r="432" spans="2:15" x14ac:dyDescent="0.2"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</row>
    <row r="433" spans="2:15" x14ac:dyDescent="0.2"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</row>
    <row r="434" spans="2:15" x14ac:dyDescent="0.2"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</row>
    <row r="435" spans="2:15" x14ac:dyDescent="0.2"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</row>
    <row r="436" spans="2:15" x14ac:dyDescent="0.2"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</row>
    <row r="437" spans="2:15" x14ac:dyDescent="0.2"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</row>
    <row r="438" spans="2:15" x14ac:dyDescent="0.2"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</row>
    <row r="439" spans="2:15" x14ac:dyDescent="0.2"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</row>
    <row r="440" spans="2:15" x14ac:dyDescent="0.2"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</row>
    <row r="441" spans="2:15" x14ac:dyDescent="0.2"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</row>
    <row r="442" spans="2:15" x14ac:dyDescent="0.2"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</row>
    <row r="443" spans="2:15" x14ac:dyDescent="0.2"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</row>
    <row r="444" spans="2:15" x14ac:dyDescent="0.2"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</row>
    <row r="445" spans="2:15" x14ac:dyDescent="0.2"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</row>
    <row r="446" spans="2:15" x14ac:dyDescent="0.2"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</row>
    <row r="447" spans="2:15" x14ac:dyDescent="0.2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</row>
    <row r="448" spans="2:15" x14ac:dyDescent="0.2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</row>
    <row r="449" spans="2:15" x14ac:dyDescent="0.2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</row>
    <row r="450" spans="2:15" x14ac:dyDescent="0.2"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</row>
    <row r="451" spans="2:15" x14ac:dyDescent="0.2"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</row>
    <row r="452" spans="2:15" x14ac:dyDescent="0.2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</row>
    <row r="453" spans="2:15" x14ac:dyDescent="0.2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</row>
    <row r="454" spans="2:15" x14ac:dyDescent="0.2"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</row>
    <row r="455" spans="2:15" x14ac:dyDescent="0.2"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</row>
    <row r="456" spans="2:15" x14ac:dyDescent="0.2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</row>
    <row r="457" spans="2:15" x14ac:dyDescent="0.2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</row>
    <row r="458" spans="2:15" x14ac:dyDescent="0.2"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</row>
    <row r="459" spans="2:15" x14ac:dyDescent="0.2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</row>
    <row r="460" spans="2:15" x14ac:dyDescent="0.2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</row>
    <row r="461" spans="2:15" x14ac:dyDescent="0.2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</row>
    <row r="462" spans="2:15" x14ac:dyDescent="0.2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</row>
    <row r="463" spans="2:15" x14ac:dyDescent="0.2"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</row>
    <row r="464" spans="2:15" x14ac:dyDescent="0.2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</row>
    <row r="465" spans="2:15" x14ac:dyDescent="0.2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</row>
    <row r="466" spans="2:15" x14ac:dyDescent="0.2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</row>
    <row r="467" spans="2:15" x14ac:dyDescent="0.2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</row>
    <row r="468" spans="2:15" x14ac:dyDescent="0.2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</row>
    <row r="469" spans="2:15" x14ac:dyDescent="0.2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</row>
    <row r="470" spans="2:15" x14ac:dyDescent="0.2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</row>
    <row r="471" spans="2:15" x14ac:dyDescent="0.2"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</row>
    <row r="472" spans="2:15" x14ac:dyDescent="0.2"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</row>
    <row r="473" spans="2:15" x14ac:dyDescent="0.2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</row>
    <row r="474" spans="2:15" x14ac:dyDescent="0.2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</row>
    <row r="475" spans="2:15" x14ac:dyDescent="0.2"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</row>
    <row r="476" spans="2:15" x14ac:dyDescent="0.2"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</row>
    <row r="477" spans="2:15" x14ac:dyDescent="0.2"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</row>
    <row r="478" spans="2:15" x14ac:dyDescent="0.2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</row>
    <row r="479" spans="2:15" x14ac:dyDescent="0.2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</row>
    <row r="480" spans="2:15" x14ac:dyDescent="0.2"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</row>
    <row r="481" spans="2:15" x14ac:dyDescent="0.2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</row>
    <row r="482" spans="2:15" x14ac:dyDescent="0.2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</row>
    <row r="483" spans="2:15" x14ac:dyDescent="0.2"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</row>
    <row r="484" spans="2:15" x14ac:dyDescent="0.2"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</row>
    <row r="485" spans="2:15" x14ac:dyDescent="0.2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</row>
    <row r="486" spans="2:15" x14ac:dyDescent="0.2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</row>
    <row r="487" spans="2:15" x14ac:dyDescent="0.2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</row>
    <row r="488" spans="2:15" x14ac:dyDescent="0.2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</row>
    <row r="489" spans="2:15" x14ac:dyDescent="0.2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</row>
    <row r="490" spans="2:15" x14ac:dyDescent="0.2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</row>
    <row r="491" spans="2:15" x14ac:dyDescent="0.2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</row>
    <row r="492" spans="2:15" x14ac:dyDescent="0.2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</row>
    <row r="493" spans="2:15" x14ac:dyDescent="0.2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</row>
    <row r="494" spans="2:15" x14ac:dyDescent="0.2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</row>
    <row r="495" spans="2:15" x14ac:dyDescent="0.2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</row>
    <row r="496" spans="2:15" x14ac:dyDescent="0.2"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</row>
    <row r="497" spans="2:15" x14ac:dyDescent="0.2"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</row>
    <row r="498" spans="2:15" x14ac:dyDescent="0.2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</row>
    <row r="499" spans="2:15" x14ac:dyDescent="0.2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</row>
    <row r="500" spans="2:15" x14ac:dyDescent="0.2"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</row>
    <row r="501" spans="2:15" x14ac:dyDescent="0.2"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</row>
    <row r="502" spans="2:15" x14ac:dyDescent="0.2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</row>
    <row r="503" spans="2:15" x14ac:dyDescent="0.2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</row>
    <row r="504" spans="2:15" x14ac:dyDescent="0.2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</row>
    <row r="505" spans="2:15" x14ac:dyDescent="0.2"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</row>
    <row r="506" spans="2:15" x14ac:dyDescent="0.2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</row>
    <row r="507" spans="2:15" x14ac:dyDescent="0.2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</row>
    <row r="508" spans="2:15" x14ac:dyDescent="0.2"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</row>
    <row r="509" spans="2:15" x14ac:dyDescent="0.2"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</row>
    <row r="510" spans="2:15" x14ac:dyDescent="0.2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</row>
    <row r="511" spans="2:15" x14ac:dyDescent="0.2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</row>
    <row r="512" spans="2:15" x14ac:dyDescent="0.2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</row>
    <row r="513" spans="2:15" x14ac:dyDescent="0.2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</row>
    <row r="514" spans="2:15" x14ac:dyDescent="0.2"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</row>
    <row r="515" spans="2:15" x14ac:dyDescent="0.2"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</row>
    <row r="516" spans="2:15" x14ac:dyDescent="0.2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</row>
    <row r="517" spans="2:15" x14ac:dyDescent="0.2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</row>
    <row r="518" spans="2:15" x14ac:dyDescent="0.2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</row>
    <row r="519" spans="2:15" x14ac:dyDescent="0.2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</row>
    <row r="520" spans="2:15" x14ac:dyDescent="0.2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</row>
    <row r="521" spans="2:15" x14ac:dyDescent="0.2"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</row>
    <row r="522" spans="2:15" x14ac:dyDescent="0.2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</row>
    <row r="523" spans="2:15" x14ac:dyDescent="0.2"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</row>
    <row r="524" spans="2:15" x14ac:dyDescent="0.2"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</row>
    <row r="525" spans="2:15" x14ac:dyDescent="0.2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</row>
    <row r="526" spans="2:15" x14ac:dyDescent="0.2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</row>
    <row r="527" spans="2:15" x14ac:dyDescent="0.2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</row>
    <row r="528" spans="2:15" x14ac:dyDescent="0.2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</row>
    <row r="529" spans="2:15" x14ac:dyDescent="0.2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</row>
    <row r="530" spans="2:15" x14ac:dyDescent="0.2"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</row>
    <row r="531" spans="2:15" x14ac:dyDescent="0.2"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</row>
    <row r="532" spans="2:15" x14ac:dyDescent="0.2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</row>
    <row r="533" spans="2:15" x14ac:dyDescent="0.2"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</row>
    <row r="534" spans="2:15" x14ac:dyDescent="0.2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</row>
    <row r="535" spans="2:15" x14ac:dyDescent="0.2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</row>
    <row r="536" spans="2:15" x14ac:dyDescent="0.2"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</row>
    <row r="537" spans="2:15" x14ac:dyDescent="0.2"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</row>
    <row r="538" spans="2:15" x14ac:dyDescent="0.2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</row>
    <row r="539" spans="2:15" x14ac:dyDescent="0.2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</row>
    <row r="540" spans="2:15" x14ac:dyDescent="0.2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</row>
    <row r="541" spans="2:15" x14ac:dyDescent="0.2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</row>
    <row r="542" spans="2:15" x14ac:dyDescent="0.2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</row>
    <row r="543" spans="2:15" x14ac:dyDescent="0.2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</row>
    <row r="544" spans="2:15" x14ac:dyDescent="0.2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</row>
    <row r="545" spans="2:15" x14ac:dyDescent="0.2"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</row>
    <row r="546" spans="2:15" x14ac:dyDescent="0.2"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</row>
    <row r="547" spans="2:15" x14ac:dyDescent="0.2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</row>
    <row r="548" spans="2:15" x14ac:dyDescent="0.2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</row>
    <row r="549" spans="2:15" x14ac:dyDescent="0.2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</row>
    <row r="550" spans="2:15" x14ac:dyDescent="0.2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</row>
    <row r="551" spans="2:15" x14ac:dyDescent="0.2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</row>
    <row r="552" spans="2:15" x14ac:dyDescent="0.2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</row>
    <row r="553" spans="2:15" x14ac:dyDescent="0.2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</row>
    <row r="554" spans="2:15" x14ac:dyDescent="0.2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</row>
    <row r="555" spans="2:15" x14ac:dyDescent="0.2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</row>
    <row r="556" spans="2:15" x14ac:dyDescent="0.2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</row>
    <row r="557" spans="2:15" x14ac:dyDescent="0.2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</row>
    <row r="558" spans="2:15" x14ac:dyDescent="0.2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</row>
    <row r="559" spans="2:15" x14ac:dyDescent="0.2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</row>
    <row r="560" spans="2:15" x14ac:dyDescent="0.2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</row>
    <row r="561" spans="2:15" x14ac:dyDescent="0.2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</row>
    <row r="562" spans="2:15" x14ac:dyDescent="0.2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</row>
    <row r="563" spans="2:15" x14ac:dyDescent="0.2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</row>
    <row r="564" spans="2:15" x14ac:dyDescent="0.2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</row>
    <row r="565" spans="2:15" x14ac:dyDescent="0.2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</row>
    <row r="566" spans="2:15" x14ac:dyDescent="0.2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</row>
    <row r="567" spans="2:15" x14ac:dyDescent="0.2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</row>
    <row r="568" spans="2:15" x14ac:dyDescent="0.2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</row>
    <row r="569" spans="2:15" x14ac:dyDescent="0.2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</row>
    <row r="570" spans="2:15" x14ac:dyDescent="0.2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</row>
    <row r="571" spans="2:15" x14ac:dyDescent="0.2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</row>
    <row r="572" spans="2:15" x14ac:dyDescent="0.2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</row>
    <row r="573" spans="2:15" x14ac:dyDescent="0.2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</row>
    <row r="574" spans="2:15" x14ac:dyDescent="0.2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</row>
    <row r="575" spans="2:15" x14ac:dyDescent="0.2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</row>
    <row r="576" spans="2:15" x14ac:dyDescent="0.2"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</row>
    <row r="577" spans="2:15" x14ac:dyDescent="0.2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</row>
    <row r="578" spans="2:15" x14ac:dyDescent="0.2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</row>
    <row r="579" spans="2:15" x14ac:dyDescent="0.2"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</row>
    <row r="580" spans="2:15" x14ac:dyDescent="0.2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</row>
    <row r="581" spans="2:15" x14ac:dyDescent="0.2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</row>
    <row r="582" spans="2:15" x14ac:dyDescent="0.2"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</row>
    <row r="583" spans="2:15" x14ac:dyDescent="0.2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</row>
    <row r="584" spans="2:15" x14ac:dyDescent="0.2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</row>
    <row r="585" spans="2:15" x14ac:dyDescent="0.2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</row>
    <row r="586" spans="2:15" x14ac:dyDescent="0.2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</row>
    <row r="587" spans="2:15" x14ac:dyDescent="0.2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</row>
    <row r="588" spans="2:15" x14ac:dyDescent="0.2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</row>
    <row r="589" spans="2:15" x14ac:dyDescent="0.2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</row>
    <row r="590" spans="2:15" x14ac:dyDescent="0.2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</row>
    <row r="591" spans="2:15" x14ac:dyDescent="0.2"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</row>
    <row r="592" spans="2:15" x14ac:dyDescent="0.2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</row>
    <row r="593" spans="2:15" x14ac:dyDescent="0.2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</row>
    <row r="594" spans="2:15" x14ac:dyDescent="0.2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</row>
    <row r="595" spans="2:15" x14ac:dyDescent="0.2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</row>
    <row r="596" spans="2:15" x14ac:dyDescent="0.2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</row>
    <row r="597" spans="2:15" x14ac:dyDescent="0.2"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</row>
    <row r="598" spans="2:15" x14ac:dyDescent="0.2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</row>
    <row r="599" spans="2:15" x14ac:dyDescent="0.2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</row>
    <row r="600" spans="2:15" x14ac:dyDescent="0.2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</row>
    <row r="601" spans="2:15" x14ac:dyDescent="0.2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</row>
    <row r="602" spans="2:15" x14ac:dyDescent="0.2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</row>
    <row r="603" spans="2:15" x14ac:dyDescent="0.2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</row>
    <row r="604" spans="2:15" x14ac:dyDescent="0.2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</row>
    <row r="605" spans="2:15" x14ac:dyDescent="0.2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</row>
    <row r="606" spans="2:15" x14ac:dyDescent="0.2"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</row>
    <row r="607" spans="2:15" x14ac:dyDescent="0.2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</row>
    <row r="608" spans="2:15" x14ac:dyDescent="0.2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</row>
    <row r="609" spans="2:15" x14ac:dyDescent="0.2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</row>
    <row r="610" spans="2:15" x14ac:dyDescent="0.2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</row>
    <row r="611" spans="2:15" x14ac:dyDescent="0.2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</row>
    <row r="612" spans="2:15" x14ac:dyDescent="0.2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</row>
    <row r="613" spans="2:15" x14ac:dyDescent="0.2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</row>
    <row r="614" spans="2:15" x14ac:dyDescent="0.2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</row>
    <row r="615" spans="2:15" x14ac:dyDescent="0.2"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</row>
    <row r="616" spans="2:15" x14ac:dyDescent="0.2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</row>
    <row r="617" spans="2:15" x14ac:dyDescent="0.2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</row>
    <row r="618" spans="2:15" x14ac:dyDescent="0.2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</row>
    <row r="619" spans="2:15" x14ac:dyDescent="0.2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</row>
    <row r="620" spans="2:15" x14ac:dyDescent="0.2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</row>
    <row r="621" spans="2:15" x14ac:dyDescent="0.2"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</row>
    <row r="622" spans="2:15" x14ac:dyDescent="0.2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</row>
    <row r="623" spans="2:15" x14ac:dyDescent="0.2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</row>
    <row r="624" spans="2:15" x14ac:dyDescent="0.2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</row>
    <row r="625" spans="2:15" x14ac:dyDescent="0.2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</row>
    <row r="626" spans="2:15" x14ac:dyDescent="0.2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</row>
    <row r="627" spans="2:15" x14ac:dyDescent="0.2"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</row>
    <row r="628" spans="2:15" x14ac:dyDescent="0.2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</row>
    <row r="629" spans="2:15" x14ac:dyDescent="0.2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</row>
    <row r="630" spans="2:15" x14ac:dyDescent="0.2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</row>
    <row r="631" spans="2:15" x14ac:dyDescent="0.2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</row>
    <row r="632" spans="2:15" x14ac:dyDescent="0.2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</row>
    <row r="633" spans="2:15" x14ac:dyDescent="0.2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</row>
    <row r="634" spans="2:15" x14ac:dyDescent="0.2"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</row>
    <row r="635" spans="2:15" x14ac:dyDescent="0.2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</row>
    <row r="636" spans="2:15" x14ac:dyDescent="0.2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</row>
    <row r="637" spans="2:15" x14ac:dyDescent="0.2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</row>
    <row r="638" spans="2:15" x14ac:dyDescent="0.2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</row>
    <row r="639" spans="2:15" x14ac:dyDescent="0.2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</row>
    <row r="640" spans="2:15" x14ac:dyDescent="0.2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</row>
    <row r="641" spans="2:15" x14ac:dyDescent="0.2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</row>
    <row r="642" spans="2:15" x14ac:dyDescent="0.2"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</row>
    <row r="643" spans="2:15" x14ac:dyDescent="0.2"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</row>
    <row r="644" spans="2:15" x14ac:dyDescent="0.2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</row>
    <row r="645" spans="2:15" x14ac:dyDescent="0.2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</row>
    <row r="646" spans="2:15" x14ac:dyDescent="0.2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</row>
    <row r="647" spans="2:15" x14ac:dyDescent="0.2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</row>
    <row r="648" spans="2:15" x14ac:dyDescent="0.2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</row>
    <row r="649" spans="2:15" x14ac:dyDescent="0.2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</row>
    <row r="650" spans="2:15" x14ac:dyDescent="0.2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</row>
    <row r="651" spans="2:15" x14ac:dyDescent="0.2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</row>
    <row r="652" spans="2:15" x14ac:dyDescent="0.2"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</row>
    <row r="653" spans="2:15" x14ac:dyDescent="0.2"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</row>
    <row r="654" spans="2:15" x14ac:dyDescent="0.2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</row>
    <row r="655" spans="2:15" x14ac:dyDescent="0.2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</row>
    <row r="656" spans="2:15" x14ac:dyDescent="0.2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</row>
    <row r="657" spans="2:15" x14ac:dyDescent="0.2"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</row>
    <row r="658" spans="2:15" x14ac:dyDescent="0.2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</row>
    <row r="659" spans="2:15" x14ac:dyDescent="0.2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</row>
    <row r="660" spans="2:15" x14ac:dyDescent="0.2"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</row>
    <row r="661" spans="2:15" x14ac:dyDescent="0.2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</row>
    <row r="662" spans="2:15" x14ac:dyDescent="0.2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</row>
    <row r="663" spans="2:15" x14ac:dyDescent="0.2"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</row>
    <row r="664" spans="2:15" x14ac:dyDescent="0.2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</row>
    <row r="665" spans="2:15" x14ac:dyDescent="0.2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</row>
    <row r="666" spans="2:15" x14ac:dyDescent="0.2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</row>
    <row r="667" spans="2:15" x14ac:dyDescent="0.2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</row>
    <row r="668" spans="2:15" x14ac:dyDescent="0.2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</row>
    <row r="669" spans="2:15" x14ac:dyDescent="0.2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</row>
    <row r="670" spans="2:15" x14ac:dyDescent="0.2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</row>
    <row r="671" spans="2:15" x14ac:dyDescent="0.2"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</row>
    <row r="672" spans="2:15" x14ac:dyDescent="0.2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</row>
    <row r="673" spans="2:15" x14ac:dyDescent="0.2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</row>
    <row r="674" spans="2:15" x14ac:dyDescent="0.2"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</row>
    <row r="675" spans="2:15" x14ac:dyDescent="0.2"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</row>
    <row r="676" spans="2:15" x14ac:dyDescent="0.2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</row>
    <row r="677" spans="2:15" x14ac:dyDescent="0.2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</row>
    <row r="678" spans="2:15" x14ac:dyDescent="0.2"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</row>
    <row r="679" spans="2:15" x14ac:dyDescent="0.2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</row>
    <row r="680" spans="2:15" x14ac:dyDescent="0.2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</row>
    <row r="681" spans="2:15" x14ac:dyDescent="0.2"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</row>
    <row r="682" spans="2:15" x14ac:dyDescent="0.2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</row>
    <row r="683" spans="2:15" x14ac:dyDescent="0.2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</row>
    <row r="684" spans="2:15" x14ac:dyDescent="0.2"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</row>
    <row r="685" spans="2:15" x14ac:dyDescent="0.2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</row>
    <row r="686" spans="2:15" x14ac:dyDescent="0.2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</row>
    <row r="687" spans="2:15" x14ac:dyDescent="0.2"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</row>
    <row r="688" spans="2:15" x14ac:dyDescent="0.2"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</row>
    <row r="689" spans="2:15" x14ac:dyDescent="0.2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</row>
    <row r="690" spans="2:15" x14ac:dyDescent="0.2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</row>
    <row r="691" spans="2:15" x14ac:dyDescent="0.2"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</row>
    <row r="692" spans="2:15" x14ac:dyDescent="0.2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</row>
    <row r="693" spans="2:15" x14ac:dyDescent="0.2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</row>
    <row r="694" spans="2:15" x14ac:dyDescent="0.2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</row>
    <row r="695" spans="2:15" x14ac:dyDescent="0.2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</row>
    <row r="696" spans="2:15" x14ac:dyDescent="0.2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</row>
    <row r="697" spans="2:15" x14ac:dyDescent="0.2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</row>
    <row r="698" spans="2:15" x14ac:dyDescent="0.2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</row>
    <row r="699" spans="2:15" x14ac:dyDescent="0.2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</row>
    <row r="700" spans="2:15" x14ac:dyDescent="0.2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</row>
    <row r="701" spans="2:15" x14ac:dyDescent="0.2"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</row>
    <row r="702" spans="2:15" x14ac:dyDescent="0.2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</row>
    <row r="703" spans="2:15" x14ac:dyDescent="0.2"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</row>
    <row r="704" spans="2:15" x14ac:dyDescent="0.2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</row>
    <row r="705" spans="2:15" x14ac:dyDescent="0.2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</row>
    <row r="706" spans="2:15" x14ac:dyDescent="0.2"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</row>
    <row r="707" spans="2:15" x14ac:dyDescent="0.2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</row>
    <row r="708" spans="2:15" x14ac:dyDescent="0.2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</row>
    <row r="709" spans="2:15" x14ac:dyDescent="0.2"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</row>
    <row r="710" spans="2:15" x14ac:dyDescent="0.2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</row>
    <row r="711" spans="2:15" x14ac:dyDescent="0.2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</row>
    <row r="712" spans="2:15" x14ac:dyDescent="0.2"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</row>
    <row r="713" spans="2:15" x14ac:dyDescent="0.2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</row>
    <row r="714" spans="2:15" x14ac:dyDescent="0.2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</row>
    <row r="715" spans="2:15" x14ac:dyDescent="0.2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</row>
    <row r="716" spans="2:15" x14ac:dyDescent="0.2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</row>
    <row r="717" spans="2:15" x14ac:dyDescent="0.2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</row>
    <row r="718" spans="2:15" x14ac:dyDescent="0.2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</row>
    <row r="719" spans="2:15" x14ac:dyDescent="0.2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</row>
    <row r="720" spans="2:15" x14ac:dyDescent="0.2"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</row>
    <row r="721" spans="2:15" x14ac:dyDescent="0.2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</row>
    <row r="722" spans="2:15" x14ac:dyDescent="0.2"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</row>
    <row r="723" spans="2:15" x14ac:dyDescent="0.2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</row>
    <row r="724" spans="2:15" x14ac:dyDescent="0.2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</row>
    <row r="725" spans="2:15" x14ac:dyDescent="0.2"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</row>
    <row r="726" spans="2:15" x14ac:dyDescent="0.2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</row>
    <row r="727" spans="2:15" x14ac:dyDescent="0.2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</row>
    <row r="728" spans="2:15" x14ac:dyDescent="0.2"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</row>
    <row r="729" spans="2:15" x14ac:dyDescent="0.2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</row>
    <row r="730" spans="2:15" x14ac:dyDescent="0.2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</row>
    <row r="731" spans="2:15" x14ac:dyDescent="0.2"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</row>
    <row r="732" spans="2:15" x14ac:dyDescent="0.2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</row>
    <row r="733" spans="2:15" x14ac:dyDescent="0.2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</row>
    <row r="734" spans="2:15" x14ac:dyDescent="0.2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</row>
    <row r="735" spans="2:15" x14ac:dyDescent="0.2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</row>
    <row r="736" spans="2:15" x14ac:dyDescent="0.2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</row>
    <row r="737" spans="2:15" x14ac:dyDescent="0.2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</row>
    <row r="738" spans="2:15" x14ac:dyDescent="0.2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</row>
    <row r="739" spans="2:15" x14ac:dyDescent="0.2"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</row>
    <row r="740" spans="2:15" x14ac:dyDescent="0.2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</row>
    <row r="741" spans="2:15" x14ac:dyDescent="0.2"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</row>
    <row r="742" spans="2:15" x14ac:dyDescent="0.2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</row>
    <row r="743" spans="2:15" x14ac:dyDescent="0.2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</row>
    <row r="744" spans="2:15" x14ac:dyDescent="0.2"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</row>
    <row r="745" spans="2:15" x14ac:dyDescent="0.2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</row>
    <row r="746" spans="2:15" x14ac:dyDescent="0.2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</row>
    <row r="747" spans="2:15" x14ac:dyDescent="0.2"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</row>
    <row r="748" spans="2:15" x14ac:dyDescent="0.2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</row>
    <row r="749" spans="2:15" x14ac:dyDescent="0.2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</row>
    <row r="750" spans="2:15" x14ac:dyDescent="0.2"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</row>
    <row r="751" spans="2:15" x14ac:dyDescent="0.2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</row>
    <row r="752" spans="2:15" x14ac:dyDescent="0.2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</row>
    <row r="753" spans="2:15" x14ac:dyDescent="0.2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</row>
    <row r="754" spans="2:15" x14ac:dyDescent="0.2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</row>
    <row r="755" spans="2:15" x14ac:dyDescent="0.2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</row>
    <row r="756" spans="2:15" x14ac:dyDescent="0.2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</row>
    <row r="757" spans="2:15" x14ac:dyDescent="0.2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</row>
    <row r="758" spans="2:15" x14ac:dyDescent="0.2"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</row>
    <row r="759" spans="2:15" x14ac:dyDescent="0.2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</row>
    <row r="760" spans="2:15" x14ac:dyDescent="0.2"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</row>
    <row r="761" spans="2:15" x14ac:dyDescent="0.2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</row>
    <row r="762" spans="2:15" x14ac:dyDescent="0.2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</row>
    <row r="763" spans="2:15" x14ac:dyDescent="0.2"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</row>
    <row r="764" spans="2:15" x14ac:dyDescent="0.2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</row>
    <row r="765" spans="2:15" x14ac:dyDescent="0.2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</row>
    <row r="766" spans="2:15" x14ac:dyDescent="0.2"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</row>
    <row r="767" spans="2:15" x14ac:dyDescent="0.2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</row>
    <row r="768" spans="2:15" x14ac:dyDescent="0.2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</row>
    <row r="769" spans="2:15" x14ac:dyDescent="0.2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</row>
    <row r="770" spans="2:15" x14ac:dyDescent="0.2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</row>
    <row r="771" spans="2:15" x14ac:dyDescent="0.2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</row>
    <row r="772" spans="2:15" x14ac:dyDescent="0.2"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</row>
    <row r="773" spans="2:15" x14ac:dyDescent="0.2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</row>
    <row r="774" spans="2:15" x14ac:dyDescent="0.2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</row>
    <row r="775" spans="2:15" x14ac:dyDescent="0.2"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</row>
    <row r="776" spans="2:15" x14ac:dyDescent="0.2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</row>
    <row r="777" spans="2:15" x14ac:dyDescent="0.2"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</row>
    <row r="778" spans="2:15" x14ac:dyDescent="0.2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</row>
    <row r="779" spans="2:15" x14ac:dyDescent="0.2"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</row>
    <row r="780" spans="2:15" x14ac:dyDescent="0.2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</row>
    <row r="781" spans="2:15" x14ac:dyDescent="0.2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</row>
    <row r="782" spans="2:15" x14ac:dyDescent="0.2"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</row>
    <row r="783" spans="2:15" x14ac:dyDescent="0.2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</row>
    <row r="784" spans="2:15" x14ac:dyDescent="0.2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</row>
    <row r="785" spans="2:15" x14ac:dyDescent="0.2"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</row>
    <row r="786" spans="2:15" x14ac:dyDescent="0.2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</row>
    <row r="787" spans="2:15" x14ac:dyDescent="0.2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</row>
    <row r="788" spans="2:15" x14ac:dyDescent="0.2"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</row>
    <row r="789" spans="2:15" x14ac:dyDescent="0.2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</row>
    <row r="790" spans="2:15" x14ac:dyDescent="0.2"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</row>
    <row r="791" spans="2:15" x14ac:dyDescent="0.2"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</row>
    <row r="792" spans="2:15" x14ac:dyDescent="0.2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</row>
    <row r="793" spans="2:15" x14ac:dyDescent="0.2"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</row>
    <row r="794" spans="2:15" x14ac:dyDescent="0.2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</row>
    <row r="795" spans="2:15" x14ac:dyDescent="0.2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</row>
    <row r="796" spans="2:15" x14ac:dyDescent="0.2"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</row>
    <row r="797" spans="2:15" x14ac:dyDescent="0.2"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</row>
    <row r="798" spans="2:15" x14ac:dyDescent="0.2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</row>
    <row r="799" spans="2:15" x14ac:dyDescent="0.2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</row>
    <row r="800" spans="2:15" x14ac:dyDescent="0.2"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</row>
    <row r="801" spans="2:15" x14ac:dyDescent="0.2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</row>
    <row r="802" spans="2:15" x14ac:dyDescent="0.2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</row>
    <row r="803" spans="2:15" x14ac:dyDescent="0.2"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</row>
    <row r="804" spans="2:15" x14ac:dyDescent="0.2"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</row>
    <row r="805" spans="2:15" x14ac:dyDescent="0.2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</row>
    <row r="806" spans="2:15" x14ac:dyDescent="0.2"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</row>
    <row r="807" spans="2:15" x14ac:dyDescent="0.2"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</row>
    <row r="808" spans="2:15" x14ac:dyDescent="0.2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</row>
    <row r="809" spans="2:15" x14ac:dyDescent="0.2"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</row>
    <row r="810" spans="2:15" x14ac:dyDescent="0.2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</row>
    <row r="811" spans="2:15" x14ac:dyDescent="0.2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</row>
    <row r="812" spans="2:15" x14ac:dyDescent="0.2"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</row>
    <row r="813" spans="2:15" x14ac:dyDescent="0.2"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</row>
    <row r="814" spans="2:15" x14ac:dyDescent="0.2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</row>
    <row r="815" spans="2:15" x14ac:dyDescent="0.2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</row>
    <row r="816" spans="2:15" x14ac:dyDescent="0.2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</row>
    <row r="817" spans="2:15" x14ac:dyDescent="0.2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</row>
    <row r="818" spans="2:15" x14ac:dyDescent="0.2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</row>
    <row r="819" spans="2:15" x14ac:dyDescent="0.2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</row>
    <row r="820" spans="2:15" x14ac:dyDescent="0.2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</row>
    <row r="821" spans="2:15" x14ac:dyDescent="0.2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</row>
    <row r="822" spans="2:15" x14ac:dyDescent="0.2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</row>
    <row r="823" spans="2:15" x14ac:dyDescent="0.2"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</row>
    <row r="824" spans="2:15" x14ac:dyDescent="0.2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</row>
    <row r="825" spans="2:15" x14ac:dyDescent="0.2"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</row>
    <row r="826" spans="2:15" x14ac:dyDescent="0.2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</row>
    <row r="827" spans="2:15" x14ac:dyDescent="0.2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</row>
    <row r="828" spans="2:15" x14ac:dyDescent="0.2"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</row>
    <row r="829" spans="2:15" x14ac:dyDescent="0.2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</row>
    <row r="830" spans="2:15" x14ac:dyDescent="0.2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</row>
    <row r="831" spans="2:15" x14ac:dyDescent="0.2"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</row>
    <row r="832" spans="2:15" x14ac:dyDescent="0.2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</row>
    <row r="833" spans="2:15" x14ac:dyDescent="0.2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</row>
    <row r="834" spans="2:15" x14ac:dyDescent="0.2"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</row>
    <row r="835" spans="2:15" x14ac:dyDescent="0.2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</row>
    <row r="836" spans="2:15" x14ac:dyDescent="0.2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</row>
    <row r="837" spans="2:15" x14ac:dyDescent="0.2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</row>
    <row r="838" spans="2:15" x14ac:dyDescent="0.2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</row>
    <row r="839" spans="2:15" x14ac:dyDescent="0.2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</row>
    <row r="840" spans="2:15" x14ac:dyDescent="0.2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</row>
    <row r="841" spans="2:15" x14ac:dyDescent="0.2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</row>
    <row r="842" spans="2:15" x14ac:dyDescent="0.2"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</row>
    <row r="843" spans="2:15" x14ac:dyDescent="0.2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</row>
    <row r="844" spans="2:15" x14ac:dyDescent="0.2"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</row>
    <row r="845" spans="2:15" x14ac:dyDescent="0.2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</row>
    <row r="846" spans="2:15" x14ac:dyDescent="0.2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</row>
    <row r="847" spans="2:15" x14ac:dyDescent="0.2"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</row>
    <row r="848" spans="2:15" x14ac:dyDescent="0.2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</row>
    <row r="849" spans="2:15" x14ac:dyDescent="0.2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</row>
    <row r="850" spans="2:15" x14ac:dyDescent="0.2"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</row>
    <row r="851" spans="2:15" x14ac:dyDescent="0.2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</row>
    <row r="852" spans="2:15" x14ac:dyDescent="0.2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</row>
    <row r="853" spans="2:15" x14ac:dyDescent="0.2"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</row>
    <row r="854" spans="2:15" x14ac:dyDescent="0.2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</row>
    <row r="855" spans="2:15" x14ac:dyDescent="0.2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</row>
    <row r="856" spans="2:15" x14ac:dyDescent="0.2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</row>
    <row r="857" spans="2:15" x14ac:dyDescent="0.2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</row>
    <row r="858" spans="2:15" x14ac:dyDescent="0.2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</row>
    <row r="859" spans="2:15" x14ac:dyDescent="0.2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</row>
    <row r="860" spans="2:15" x14ac:dyDescent="0.2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</row>
    <row r="861" spans="2:15" x14ac:dyDescent="0.2"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</row>
    <row r="862" spans="2:15" x14ac:dyDescent="0.2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</row>
    <row r="863" spans="2:15" x14ac:dyDescent="0.2"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</row>
    <row r="864" spans="2:15" x14ac:dyDescent="0.2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</row>
    <row r="865" spans="2:15" x14ac:dyDescent="0.2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</row>
    <row r="866" spans="2:15" x14ac:dyDescent="0.2"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</row>
    <row r="867" spans="2:15" x14ac:dyDescent="0.2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</row>
    <row r="868" spans="2:15" x14ac:dyDescent="0.2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</row>
    <row r="869" spans="2:15" x14ac:dyDescent="0.2"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</row>
    <row r="870" spans="2:15" x14ac:dyDescent="0.2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</row>
    <row r="871" spans="2:15" x14ac:dyDescent="0.2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</row>
    <row r="872" spans="2:15" x14ac:dyDescent="0.2"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</row>
    <row r="873" spans="2:15" x14ac:dyDescent="0.2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</row>
    <row r="874" spans="2:15" x14ac:dyDescent="0.2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</row>
    <row r="875" spans="2:15" x14ac:dyDescent="0.2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</row>
    <row r="876" spans="2:15" x14ac:dyDescent="0.2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</row>
    <row r="877" spans="2:15" x14ac:dyDescent="0.2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</row>
    <row r="878" spans="2:15" x14ac:dyDescent="0.2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</row>
    <row r="879" spans="2:15" x14ac:dyDescent="0.2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</row>
    <row r="880" spans="2:15" x14ac:dyDescent="0.2"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</row>
    <row r="881" spans="2:15" x14ac:dyDescent="0.2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</row>
    <row r="882" spans="2:15" x14ac:dyDescent="0.2"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</row>
    <row r="883" spans="2:15" x14ac:dyDescent="0.2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</row>
    <row r="884" spans="2:15" x14ac:dyDescent="0.2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</row>
    <row r="885" spans="2:15" x14ac:dyDescent="0.2"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</row>
    <row r="886" spans="2:15" x14ac:dyDescent="0.2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</row>
    <row r="887" spans="2:15" x14ac:dyDescent="0.2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</row>
    <row r="888" spans="2:15" x14ac:dyDescent="0.2"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</row>
    <row r="889" spans="2:15" x14ac:dyDescent="0.2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</row>
    <row r="890" spans="2:15" x14ac:dyDescent="0.2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</row>
    <row r="891" spans="2:15" x14ac:dyDescent="0.2"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</row>
    <row r="892" spans="2:15" x14ac:dyDescent="0.2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</row>
    <row r="893" spans="2:15" x14ac:dyDescent="0.2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</row>
    <row r="894" spans="2:15" x14ac:dyDescent="0.2"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</row>
    <row r="895" spans="2:15" x14ac:dyDescent="0.2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</row>
    <row r="896" spans="2:15" x14ac:dyDescent="0.2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</row>
    <row r="897" spans="2:15" x14ac:dyDescent="0.2"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</row>
    <row r="898" spans="2:15" x14ac:dyDescent="0.2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</row>
    <row r="899" spans="2:15" x14ac:dyDescent="0.2"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</row>
    <row r="900" spans="2:15" x14ac:dyDescent="0.2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</row>
    <row r="901" spans="2:15" x14ac:dyDescent="0.2"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</row>
    <row r="902" spans="2:15" x14ac:dyDescent="0.2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</row>
    <row r="903" spans="2:15" x14ac:dyDescent="0.2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</row>
    <row r="904" spans="2:15" x14ac:dyDescent="0.2"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</row>
    <row r="905" spans="2:15" x14ac:dyDescent="0.2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</row>
    <row r="906" spans="2:15" x14ac:dyDescent="0.2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</row>
    <row r="907" spans="2:15" x14ac:dyDescent="0.2"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</row>
    <row r="908" spans="2:15" x14ac:dyDescent="0.2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</row>
    <row r="909" spans="2:15" x14ac:dyDescent="0.2"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</row>
    <row r="910" spans="2:15" x14ac:dyDescent="0.2"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</row>
    <row r="911" spans="2:15" x14ac:dyDescent="0.2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</row>
    <row r="912" spans="2:15" x14ac:dyDescent="0.2"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</row>
    <row r="913" spans="2:15" x14ac:dyDescent="0.2"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</row>
    <row r="914" spans="2:15" x14ac:dyDescent="0.2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</row>
    <row r="915" spans="2:15" x14ac:dyDescent="0.2"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</row>
    <row r="916" spans="2:15" x14ac:dyDescent="0.2"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</row>
    <row r="917" spans="2:15" x14ac:dyDescent="0.2"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</row>
    <row r="918" spans="2:15" x14ac:dyDescent="0.2"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</row>
    <row r="919" spans="2:15" x14ac:dyDescent="0.2"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</row>
    <row r="920" spans="2:15" x14ac:dyDescent="0.2"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</row>
    <row r="921" spans="2:15" x14ac:dyDescent="0.2"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</row>
    <row r="922" spans="2:15" x14ac:dyDescent="0.2"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</row>
    <row r="923" spans="2:15" x14ac:dyDescent="0.2"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</row>
    <row r="924" spans="2:15" x14ac:dyDescent="0.2"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</row>
    <row r="925" spans="2:15" x14ac:dyDescent="0.2"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</row>
    <row r="926" spans="2:15" x14ac:dyDescent="0.2"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</row>
    <row r="927" spans="2:15" x14ac:dyDescent="0.2"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</row>
    <row r="928" spans="2:15" x14ac:dyDescent="0.2"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</row>
    <row r="929" spans="2:15" x14ac:dyDescent="0.2"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</row>
    <row r="930" spans="2:15" x14ac:dyDescent="0.2"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</row>
    <row r="931" spans="2:15" x14ac:dyDescent="0.2"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</row>
    <row r="932" spans="2:15" x14ac:dyDescent="0.2"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</row>
    <row r="933" spans="2:15" x14ac:dyDescent="0.2"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</row>
    <row r="934" spans="2:15" x14ac:dyDescent="0.2"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</row>
    <row r="935" spans="2:15" x14ac:dyDescent="0.2"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</row>
    <row r="936" spans="2:15" x14ac:dyDescent="0.2"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</row>
    <row r="937" spans="2:15" x14ac:dyDescent="0.2"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</row>
    <row r="938" spans="2:15" x14ac:dyDescent="0.2"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</row>
    <row r="939" spans="2:15" x14ac:dyDescent="0.2"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</row>
    <row r="940" spans="2:15" x14ac:dyDescent="0.2"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</row>
    <row r="941" spans="2:15" x14ac:dyDescent="0.2"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</row>
    <row r="942" spans="2:15" x14ac:dyDescent="0.2"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</row>
    <row r="943" spans="2:15" x14ac:dyDescent="0.2"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</row>
    <row r="944" spans="2:15" x14ac:dyDescent="0.2"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</row>
    <row r="945" spans="2:15" x14ac:dyDescent="0.2"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</row>
    <row r="946" spans="2:15" x14ac:dyDescent="0.2"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</row>
    <row r="947" spans="2:15" x14ac:dyDescent="0.2"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</row>
    <row r="948" spans="2:15" x14ac:dyDescent="0.2"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</row>
    <row r="949" spans="2:15" x14ac:dyDescent="0.2"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</row>
    <row r="950" spans="2:15" x14ac:dyDescent="0.2"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</row>
    <row r="951" spans="2:15" x14ac:dyDescent="0.2"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</row>
    <row r="952" spans="2:15" x14ac:dyDescent="0.2"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</row>
    <row r="953" spans="2:15" x14ac:dyDescent="0.2"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</row>
    <row r="954" spans="2:15" x14ac:dyDescent="0.2"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</row>
    <row r="955" spans="2:15" x14ac:dyDescent="0.2"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</row>
    <row r="956" spans="2:15" x14ac:dyDescent="0.2"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</row>
    <row r="957" spans="2:15" x14ac:dyDescent="0.2"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</row>
    <row r="958" spans="2:15" x14ac:dyDescent="0.2"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</row>
    <row r="959" spans="2:15" x14ac:dyDescent="0.2"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</row>
    <row r="960" spans="2:15" x14ac:dyDescent="0.2"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</row>
    <row r="961" spans="2:15" x14ac:dyDescent="0.2"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</row>
    <row r="962" spans="2:15" x14ac:dyDescent="0.2"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</row>
    <row r="963" spans="2:15" x14ac:dyDescent="0.2"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</row>
    <row r="964" spans="2:15" x14ac:dyDescent="0.2"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</row>
    <row r="965" spans="2:15" x14ac:dyDescent="0.2"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</row>
    <row r="966" spans="2:15" x14ac:dyDescent="0.2"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</row>
    <row r="967" spans="2:15" x14ac:dyDescent="0.2"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</row>
    <row r="968" spans="2:15" x14ac:dyDescent="0.2"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</row>
    <row r="969" spans="2:15" x14ac:dyDescent="0.2"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</row>
    <row r="970" spans="2:15" x14ac:dyDescent="0.2"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</row>
    <row r="971" spans="2:15" x14ac:dyDescent="0.2"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</row>
    <row r="972" spans="2:15" x14ac:dyDescent="0.2"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</row>
    <row r="973" spans="2:15" x14ac:dyDescent="0.2"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</row>
    <row r="974" spans="2:15" x14ac:dyDescent="0.2"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</row>
    <row r="975" spans="2:15" x14ac:dyDescent="0.2"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</row>
    <row r="976" spans="2:15" x14ac:dyDescent="0.2"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</row>
    <row r="977" spans="2:15" x14ac:dyDescent="0.2"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</row>
    <row r="978" spans="2:15" x14ac:dyDescent="0.2"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</row>
    <row r="979" spans="2:15" x14ac:dyDescent="0.2"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</row>
    <row r="980" spans="2:15" x14ac:dyDescent="0.2"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</row>
    <row r="981" spans="2:15" x14ac:dyDescent="0.2"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</row>
    <row r="982" spans="2:15" x14ac:dyDescent="0.2"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</row>
    <row r="983" spans="2:15" x14ac:dyDescent="0.2"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</row>
    <row r="984" spans="2:15" x14ac:dyDescent="0.2"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</row>
    <row r="985" spans="2:15" x14ac:dyDescent="0.2"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</row>
    <row r="986" spans="2:15" x14ac:dyDescent="0.2"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</row>
    <row r="987" spans="2:15" x14ac:dyDescent="0.2"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</row>
    <row r="988" spans="2:15" x14ac:dyDescent="0.2"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</row>
    <row r="989" spans="2:15" x14ac:dyDescent="0.2"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</row>
    <row r="990" spans="2:15" x14ac:dyDescent="0.2"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</row>
    <row r="991" spans="2:15" x14ac:dyDescent="0.2"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</row>
    <row r="992" spans="2:15" x14ac:dyDescent="0.2"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</row>
    <row r="993" spans="2:15" x14ac:dyDescent="0.2"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</row>
    <row r="994" spans="2:15" x14ac:dyDescent="0.2"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</row>
    <row r="995" spans="2:15" x14ac:dyDescent="0.2"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</row>
    <row r="996" spans="2:15" x14ac:dyDescent="0.2"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</row>
    <row r="997" spans="2:15" x14ac:dyDescent="0.2"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</row>
    <row r="998" spans="2:15" x14ac:dyDescent="0.2"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</row>
    <row r="999" spans="2:15" x14ac:dyDescent="0.2"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</row>
    <row r="1000" spans="2:15" x14ac:dyDescent="0.2"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</row>
    <row r="1001" spans="2:15" x14ac:dyDescent="0.2"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</row>
    <row r="1002" spans="2:15" x14ac:dyDescent="0.2"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</row>
    <row r="1003" spans="2:15" x14ac:dyDescent="0.2"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</row>
    <row r="1004" spans="2:15" x14ac:dyDescent="0.2"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</row>
    <row r="1005" spans="2:15" x14ac:dyDescent="0.2"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</row>
    <row r="1006" spans="2:15" x14ac:dyDescent="0.2"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</row>
    <row r="1007" spans="2:15" x14ac:dyDescent="0.2"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</row>
    <row r="1008" spans="2:15" x14ac:dyDescent="0.2"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</row>
    <row r="1009" spans="2:15" x14ac:dyDescent="0.2"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</row>
    <row r="1010" spans="2:15" x14ac:dyDescent="0.2"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</row>
    <row r="1011" spans="2:15" x14ac:dyDescent="0.2"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</row>
    <row r="1012" spans="2:15" x14ac:dyDescent="0.2"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</row>
    <row r="1013" spans="2:15" x14ac:dyDescent="0.2"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</row>
    <row r="1014" spans="2:15" x14ac:dyDescent="0.2"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</row>
    <row r="1015" spans="2:15" x14ac:dyDescent="0.2"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</row>
    <row r="1016" spans="2:15" x14ac:dyDescent="0.2"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</row>
    <row r="1017" spans="2:15" x14ac:dyDescent="0.2"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</row>
    <row r="1018" spans="2:15" x14ac:dyDescent="0.2"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</row>
    <row r="1019" spans="2:15" x14ac:dyDescent="0.2"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</row>
    <row r="1020" spans="2:15" x14ac:dyDescent="0.2"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</row>
    <row r="1021" spans="2:15" x14ac:dyDescent="0.2"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</row>
    <row r="1022" spans="2:15" x14ac:dyDescent="0.2"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</row>
    <row r="1023" spans="2:15" x14ac:dyDescent="0.2"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</row>
    <row r="1024" spans="2:15" x14ac:dyDescent="0.2"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</row>
    <row r="1025" spans="2:15" x14ac:dyDescent="0.2"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</row>
    <row r="1026" spans="2:15" x14ac:dyDescent="0.2"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</row>
    <row r="1027" spans="2:15" x14ac:dyDescent="0.2"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</row>
    <row r="1028" spans="2:15" x14ac:dyDescent="0.2"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</row>
    <row r="1029" spans="2:15" x14ac:dyDescent="0.2"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</row>
    <row r="1030" spans="2:15" x14ac:dyDescent="0.2"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</row>
    <row r="1031" spans="2:15" x14ac:dyDescent="0.2"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</row>
    <row r="1032" spans="2:15" x14ac:dyDescent="0.2"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</row>
    <row r="1033" spans="2:15" x14ac:dyDescent="0.2"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</row>
    <row r="1034" spans="2:15" x14ac:dyDescent="0.2"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</row>
    <row r="1035" spans="2:15" x14ac:dyDescent="0.2"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</row>
    <row r="1036" spans="2:15" x14ac:dyDescent="0.2"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</row>
    <row r="1037" spans="2:15" x14ac:dyDescent="0.2"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</row>
    <row r="1038" spans="2:15" x14ac:dyDescent="0.2"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</row>
    <row r="1039" spans="2:15" x14ac:dyDescent="0.2"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</row>
    <row r="1040" spans="2:15" x14ac:dyDescent="0.2"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</row>
    <row r="1041" spans="2:15" x14ac:dyDescent="0.2"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</row>
    <row r="1042" spans="2:15" x14ac:dyDescent="0.2"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</row>
    <row r="1043" spans="2:15" x14ac:dyDescent="0.2"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</row>
    <row r="1044" spans="2:15" x14ac:dyDescent="0.2"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</row>
    <row r="1045" spans="2:15" x14ac:dyDescent="0.2"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</row>
    <row r="1046" spans="2:15" x14ac:dyDescent="0.2"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</row>
    <row r="1047" spans="2:15" x14ac:dyDescent="0.2"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</row>
    <row r="1048" spans="2:15" x14ac:dyDescent="0.2"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</row>
    <row r="1049" spans="2:15" x14ac:dyDescent="0.2"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</row>
    <row r="1050" spans="2:15" x14ac:dyDescent="0.2"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</row>
    <row r="1051" spans="2:15" x14ac:dyDescent="0.2"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</row>
    <row r="1052" spans="2:15" x14ac:dyDescent="0.2"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</row>
    <row r="1053" spans="2:15" x14ac:dyDescent="0.2"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</row>
    <row r="1054" spans="2:15" x14ac:dyDescent="0.2"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</row>
    <row r="1055" spans="2:15" x14ac:dyDescent="0.2"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</row>
    <row r="1056" spans="2:15" x14ac:dyDescent="0.2"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</row>
    <row r="1057" spans="2:15" x14ac:dyDescent="0.2"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</row>
    <row r="1058" spans="2:15" x14ac:dyDescent="0.2"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</row>
    <row r="1059" spans="2:15" x14ac:dyDescent="0.2"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</row>
    <row r="1060" spans="2:15" x14ac:dyDescent="0.2"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</row>
    <row r="1061" spans="2:15" x14ac:dyDescent="0.2"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</row>
    <row r="1062" spans="2:15" x14ac:dyDescent="0.2"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</row>
    <row r="1063" spans="2:15" x14ac:dyDescent="0.2"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</row>
    <row r="1064" spans="2:15" x14ac:dyDescent="0.2"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</row>
    <row r="1065" spans="2:15" x14ac:dyDescent="0.2"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</row>
    <row r="1066" spans="2:15" x14ac:dyDescent="0.2"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</row>
    <row r="1067" spans="2:15" x14ac:dyDescent="0.2"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</row>
    <row r="1068" spans="2:15" x14ac:dyDescent="0.2"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</row>
    <row r="1069" spans="2:15" x14ac:dyDescent="0.2"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</row>
    <row r="1070" spans="2:15" x14ac:dyDescent="0.2"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</row>
    <row r="1071" spans="2:15" x14ac:dyDescent="0.2"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</row>
    <row r="1072" spans="2:15" x14ac:dyDescent="0.2"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</row>
    <row r="1073" spans="2:15" x14ac:dyDescent="0.2"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</row>
    <row r="1074" spans="2:15" x14ac:dyDescent="0.2"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</row>
    <row r="1075" spans="2:15" x14ac:dyDescent="0.2"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</row>
    <row r="1076" spans="2:15" x14ac:dyDescent="0.2"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</row>
    <row r="1077" spans="2:15" x14ac:dyDescent="0.2"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</row>
    <row r="1078" spans="2:15" x14ac:dyDescent="0.2"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</row>
    <row r="1079" spans="2:15" x14ac:dyDescent="0.2"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</row>
    <row r="1080" spans="2:15" x14ac:dyDescent="0.2"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</row>
    <row r="1081" spans="2:15" x14ac:dyDescent="0.2"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</row>
    <row r="1082" spans="2:15" x14ac:dyDescent="0.2"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</row>
    <row r="1083" spans="2:15" x14ac:dyDescent="0.2"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</row>
    <row r="1084" spans="2:15" x14ac:dyDescent="0.2"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</row>
    <row r="1085" spans="2:15" x14ac:dyDescent="0.2"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</row>
    <row r="1086" spans="2:15" x14ac:dyDescent="0.2"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</row>
    <row r="1087" spans="2:15" x14ac:dyDescent="0.2"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</row>
    <row r="1088" spans="2:15" x14ac:dyDescent="0.2"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</row>
    <row r="1089" spans="2:15" x14ac:dyDescent="0.2"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</row>
    <row r="1090" spans="2:15" x14ac:dyDescent="0.2"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</row>
    <row r="1091" spans="2:15" x14ac:dyDescent="0.2"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</row>
    <row r="1092" spans="2:15" x14ac:dyDescent="0.2"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</row>
    <row r="1093" spans="2:15" x14ac:dyDescent="0.2"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</row>
    <row r="1094" spans="2:15" x14ac:dyDescent="0.2"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</row>
    <row r="1095" spans="2:15" x14ac:dyDescent="0.2"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</row>
    <row r="1096" spans="2:15" x14ac:dyDescent="0.2"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</row>
    <row r="1097" spans="2:15" x14ac:dyDescent="0.2"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</row>
    <row r="1098" spans="2:15" x14ac:dyDescent="0.2"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</row>
    <row r="1099" spans="2:15" x14ac:dyDescent="0.2"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</row>
    <row r="1100" spans="2:15" x14ac:dyDescent="0.2"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</row>
    <row r="1101" spans="2:15" x14ac:dyDescent="0.2"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</row>
    <row r="1102" spans="2:15" x14ac:dyDescent="0.2"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</row>
    <row r="1103" spans="2:15" x14ac:dyDescent="0.2"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</row>
    <row r="1104" spans="2:15" x14ac:dyDescent="0.2"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</row>
    <row r="1105" spans="2:15" x14ac:dyDescent="0.2"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</row>
    <row r="1106" spans="2:15" x14ac:dyDescent="0.2"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</row>
    <row r="1107" spans="2:15" x14ac:dyDescent="0.2"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</row>
    <row r="1108" spans="2:15" x14ac:dyDescent="0.2"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</row>
    <row r="1109" spans="2:15" x14ac:dyDescent="0.2"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</row>
    <row r="1110" spans="2:15" x14ac:dyDescent="0.2"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</row>
    <row r="1111" spans="2:15" x14ac:dyDescent="0.2"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</row>
    <row r="1112" spans="2:15" x14ac:dyDescent="0.2"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</row>
    <row r="1113" spans="2:15" x14ac:dyDescent="0.2"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</row>
    <row r="1114" spans="2:15" x14ac:dyDescent="0.2"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</row>
    <row r="1115" spans="2:15" x14ac:dyDescent="0.2"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</row>
    <row r="1116" spans="2:15" x14ac:dyDescent="0.2"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</row>
    <row r="1117" spans="2:15" x14ac:dyDescent="0.2"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</row>
    <row r="1118" spans="2:15" x14ac:dyDescent="0.2"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</row>
    <row r="1119" spans="2:15" x14ac:dyDescent="0.2"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</row>
    <row r="1120" spans="2:15" x14ac:dyDescent="0.2"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</row>
    <row r="1121" spans="2:15" x14ac:dyDescent="0.2"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</row>
    <row r="1122" spans="2:15" x14ac:dyDescent="0.2"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</row>
    <row r="1123" spans="2:15" x14ac:dyDescent="0.2"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</row>
    <row r="1124" spans="2:15" x14ac:dyDescent="0.2"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</row>
    <row r="1125" spans="2:15" x14ac:dyDescent="0.2"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</row>
    <row r="1126" spans="2:15" x14ac:dyDescent="0.2"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</row>
    <row r="1127" spans="2:15" x14ac:dyDescent="0.2"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</row>
    <row r="1128" spans="2:15" x14ac:dyDescent="0.2"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</row>
    <row r="1129" spans="2:15" x14ac:dyDescent="0.2"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</row>
    <row r="1130" spans="2:15" x14ac:dyDescent="0.2"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</row>
    <row r="1131" spans="2:15" x14ac:dyDescent="0.2"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</row>
    <row r="1132" spans="2:15" x14ac:dyDescent="0.2"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</row>
    <row r="1133" spans="2:15" x14ac:dyDescent="0.2"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</row>
    <row r="1134" spans="2:15" x14ac:dyDescent="0.2"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</row>
    <row r="1135" spans="2:15" x14ac:dyDescent="0.2"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</row>
    <row r="1136" spans="2:15" x14ac:dyDescent="0.2"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</row>
    <row r="1137" spans="2:15" x14ac:dyDescent="0.2"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</row>
    <row r="1138" spans="2:15" x14ac:dyDescent="0.2"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</row>
    <row r="1139" spans="2:15" x14ac:dyDescent="0.2"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</row>
    <row r="1140" spans="2:15" x14ac:dyDescent="0.2"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</row>
    <row r="1141" spans="2:15" x14ac:dyDescent="0.2"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</row>
    <row r="1142" spans="2:15" x14ac:dyDescent="0.2"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</row>
    <row r="1143" spans="2:15" x14ac:dyDescent="0.2"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</row>
    <row r="1144" spans="2:15" x14ac:dyDescent="0.2"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</row>
    <row r="1145" spans="2:15" x14ac:dyDescent="0.2"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</row>
    <row r="1146" spans="2:15" x14ac:dyDescent="0.2"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</row>
    <row r="1147" spans="2:15" x14ac:dyDescent="0.2"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</row>
    <row r="1148" spans="2:15" x14ac:dyDescent="0.2"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</row>
    <row r="1149" spans="2:15" x14ac:dyDescent="0.2"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</row>
    <row r="1150" spans="2:15" x14ac:dyDescent="0.2"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</row>
    <row r="1151" spans="2:15" x14ac:dyDescent="0.2"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</row>
    <row r="1152" spans="2:15" x14ac:dyDescent="0.2"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</row>
    <row r="1153" spans="2:15" x14ac:dyDescent="0.2"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</row>
    <row r="1154" spans="2:15" x14ac:dyDescent="0.2"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</row>
    <row r="1155" spans="2:15" x14ac:dyDescent="0.2"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</row>
    <row r="1156" spans="2:15" x14ac:dyDescent="0.2"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</row>
    <row r="1157" spans="2:15" x14ac:dyDescent="0.2"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</row>
    <row r="1158" spans="2:15" x14ac:dyDescent="0.2"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</row>
    <row r="1159" spans="2:15" x14ac:dyDescent="0.2"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</row>
    <row r="1160" spans="2:15" x14ac:dyDescent="0.2"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</row>
    <row r="1161" spans="2:15" x14ac:dyDescent="0.2"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</row>
    <row r="1162" spans="2:15" x14ac:dyDescent="0.2"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</row>
    <row r="1163" spans="2:15" x14ac:dyDescent="0.2"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</row>
    <row r="1164" spans="2:15" x14ac:dyDescent="0.2"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</row>
    <row r="1165" spans="2:15" x14ac:dyDescent="0.2"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</row>
    <row r="1166" spans="2:15" x14ac:dyDescent="0.2"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</row>
    <row r="1167" spans="2:15" x14ac:dyDescent="0.2"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</row>
    <row r="1168" spans="2:15" x14ac:dyDescent="0.2"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</row>
    <row r="1169" spans="2:15" x14ac:dyDescent="0.2"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</row>
    <row r="1170" spans="2:15" x14ac:dyDescent="0.2"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</row>
    <row r="1171" spans="2:15" x14ac:dyDescent="0.2"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</row>
    <row r="1172" spans="2:15" x14ac:dyDescent="0.2"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</row>
    <row r="1173" spans="2:15" x14ac:dyDescent="0.2"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</row>
    <row r="1174" spans="2:15" x14ac:dyDescent="0.2"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</row>
    <row r="1175" spans="2:15" x14ac:dyDescent="0.2"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</row>
    <row r="1176" spans="2:15" x14ac:dyDescent="0.2"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</row>
    <row r="1177" spans="2:15" x14ac:dyDescent="0.2"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</row>
    <row r="1178" spans="2:15" x14ac:dyDescent="0.2"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</row>
    <row r="1179" spans="2:15" x14ac:dyDescent="0.2"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</row>
    <row r="1180" spans="2:15" x14ac:dyDescent="0.2"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</row>
    <row r="1181" spans="2:15" x14ac:dyDescent="0.2"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</row>
    <row r="1182" spans="2:15" x14ac:dyDescent="0.2"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</row>
    <row r="1183" spans="2:15" x14ac:dyDescent="0.2"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</row>
    <row r="1184" spans="2:15" x14ac:dyDescent="0.2"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</row>
    <row r="1185" spans="2:15" x14ac:dyDescent="0.2"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</row>
    <row r="1186" spans="2:15" x14ac:dyDescent="0.2"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</row>
    <row r="1187" spans="2:15" x14ac:dyDescent="0.2"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</row>
    <row r="1188" spans="2:15" x14ac:dyDescent="0.2"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</row>
    <row r="1189" spans="2:15" x14ac:dyDescent="0.2"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</row>
    <row r="1190" spans="2:15" x14ac:dyDescent="0.2"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</row>
    <row r="1191" spans="2:15" x14ac:dyDescent="0.2"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</row>
    <row r="1192" spans="2:15" x14ac:dyDescent="0.2"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</row>
    <row r="1193" spans="2:15" x14ac:dyDescent="0.2"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</row>
    <row r="1194" spans="2:15" x14ac:dyDescent="0.2"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</row>
    <row r="1195" spans="2:15" x14ac:dyDescent="0.2"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</row>
    <row r="1196" spans="2:15" x14ac:dyDescent="0.2"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</row>
    <row r="1197" spans="2:15" x14ac:dyDescent="0.2"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</row>
    <row r="1198" spans="2:15" x14ac:dyDescent="0.2"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</row>
    <row r="1199" spans="2:15" x14ac:dyDescent="0.2"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</row>
    <row r="1200" spans="2:15" x14ac:dyDescent="0.2"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</row>
    <row r="1201" spans="2:15" x14ac:dyDescent="0.2"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</row>
    <row r="1202" spans="2:15" x14ac:dyDescent="0.2"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</row>
    <row r="1203" spans="2:15" x14ac:dyDescent="0.2"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</row>
    <row r="1204" spans="2:15" x14ac:dyDescent="0.2"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</row>
    <row r="1205" spans="2:15" x14ac:dyDescent="0.2"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</row>
    <row r="1206" spans="2:15" x14ac:dyDescent="0.2"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</row>
    <row r="1207" spans="2:15" x14ac:dyDescent="0.2"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</row>
    <row r="1208" spans="2:15" x14ac:dyDescent="0.2"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</row>
    <row r="1209" spans="2:15" x14ac:dyDescent="0.2"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</row>
    <row r="1210" spans="2:15" x14ac:dyDescent="0.2"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</row>
    <row r="1211" spans="2:15" x14ac:dyDescent="0.2"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</row>
    <row r="1212" spans="2:15" x14ac:dyDescent="0.2"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</row>
    <row r="1213" spans="2:15" x14ac:dyDescent="0.2"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</row>
    <row r="1214" spans="2:15" x14ac:dyDescent="0.2"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</row>
    <row r="1215" spans="2:15" x14ac:dyDescent="0.2"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</row>
    <row r="1216" spans="2:15" x14ac:dyDescent="0.2"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</row>
    <row r="1217" spans="2:15" x14ac:dyDescent="0.2"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</row>
    <row r="1218" spans="2:15" x14ac:dyDescent="0.2"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</row>
    <row r="1219" spans="2:15" x14ac:dyDescent="0.2"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</row>
    <row r="1220" spans="2:15" x14ac:dyDescent="0.2"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</row>
    <row r="1221" spans="2:15" x14ac:dyDescent="0.2"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</row>
    <row r="1222" spans="2:15" x14ac:dyDescent="0.2"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</row>
    <row r="1223" spans="2:15" x14ac:dyDescent="0.2"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</row>
    <row r="1224" spans="2:15" x14ac:dyDescent="0.2"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</row>
    <row r="1225" spans="2:15" x14ac:dyDescent="0.2"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</row>
    <row r="1226" spans="2:15" x14ac:dyDescent="0.2"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</row>
    <row r="1227" spans="2:15" x14ac:dyDescent="0.2"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</row>
    <row r="1228" spans="2:15" x14ac:dyDescent="0.2"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</row>
    <row r="1229" spans="2:15" x14ac:dyDescent="0.2"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</row>
    <row r="1230" spans="2:15" x14ac:dyDescent="0.2"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</row>
    <row r="1231" spans="2:15" x14ac:dyDescent="0.2"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</row>
    <row r="1232" spans="2:15" x14ac:dyDescent="0.2"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</row>
    <row r="1233" spans="2:15" x14ac:dyDescent="0.2"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</row>
    <row r="1234" spans="2:15" x14ac:dyDescent="0.2"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</row>
    <row r="1235" spans="2:15" x14ac:dyDescent="0.2"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</row>
    <row r="1236" spans="2:15" x14ac:dyDescent="0.2"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</row>
    <row r="1237" spans="2:15" x14ac:dyDescent="0.2"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</row>
    <row r="1238" spans="2:15" x14ac:dyDescent="0.2"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</row>
    <row r="1239" spans="2:15" x14ac:dyDescent="0.2"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</row>
    <row r="1240" spans="2:15" x14ac:dyDescent="0.2"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</row>
    <row r="1241" spans="2:15" x14ac:dyDescent="0.2"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</row>
    <row r="1242" spans="2:15" x14ac:dyDescent="0.2"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</row>
    <row r="1243" spans="2:15" x14ac:dyDescent="0.2"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</row>
    <row r="1244" spans="2:15" x14ac:dyDescent="0.2"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</row>
    <row r="1245" spans="2:15" x14ac:dyDescent="0.2"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</row>
    <row r="1246" spans="2:15" x14ac:dyDescent="0.2"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</row>
    <row r="1247" spans="2:15" x14ac:dyDescent="0.2"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</row>
    <row r="1248" spans="2:15" x14ac:dyDescent="0.2"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</row>
    <row r="1249" spans="2:15" x14ac:dyDescent="0.2"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</row>
    <row r="1250" spans="2:15" x14ac:dyDescent="0.2"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</row>
    <row r="1251" spans="2:15" x14ac:dyDescent="0.2"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</row>
    <row r="1252" spans="2:15" x14ac:dyDescent="0.2"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</row>
    <row r="1253" spans="2:15" x14ac:dyDescent="0.2"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</row>
    <row r="1254" spans="2:15" x14ac:dyDescent="0.2"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</row>
    <row r="1255" spans="2:15" x14ac:dyDescent="0.2"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</row>
    <row r="1256" spans="2:15" x14ac:dyDescent="0.2"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</row>
    <row r="1257" spans="2:15" x14ac:dyDescent="0.2">
      <c r="B1257"/>
      <c r="C1257"/>
      <c r="D1257"/>
      <c r="E1257"/>
      <c r="F1257"/>
      <c r="G1257"/>
      <c r="H1257"/>
      <c r="I1257"/>
      <c r="J1257"/>
      <c r="K1257"/>
      <c r="L1257"/>
      <c r="M1257"/>
      <c r="N1257"/>
      <c r="O1257"/>
    </row>
    <row r="1258" spans="2:15" x14ac:dyDescent="0.2"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</row>
    <row r="1259" spans="2:15" x14ac:dyDescent="0.2"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</row>
    <row r="1260" spans="2:15" x14ac:dyDescent="0.2">
      <c r="B1260"/>
      <c r="C1260"/>
      <c r="D1260"/>
      <c r="E1260"/>
      <c r="F1260"/>
      <c r="G1260"/>
      <c r="H1260"/>
      <c r="I1260"/>
      <c r="J1260"/>
      <c r="K1260"/>
      <c r="L1260"/>
      <c r="M1260"/>
      <c r="N1260"/>
      <c r="O1260"/>
    </row>
    <row r="1261" spans="2:15" x14ac:dyDescent="0.2"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</row>
    <row r="1262" spans="2:15" x14ac:dyDescent="0.2"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O1262"/>
    </row>
    <row r="1263" spans="2:15" x14ac:dyDescent="0.2">
      <c r="B1263"/>
      <c r="C1263"/>
      <c r="D1263"/>
      <c r="E1263"/>
      <c r="F1263"/>
      <c r="G1263"/>
      <c r="H1263"/>
      <c r="I1263"/>
      <c r="J1263"/>
      <c r="K1263"/>
      <c r="L1263"/>
      <c r="M1263"/>
      <c r="N1263"/>
      <c r="O1263"/>
    </row>
    <row r="1264" spans="2:15" x14ac:dyDescent="0.2"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</row>
    <row r="1265" spans="2:15" x14ac:dyDescent="0.2">
      <c r="B1265"/>
      <c r="C1265"/>
      <c r="D1265"/>
      <c r="E1265"/>
      <c r="F1265"/>
      <c r="G1265"/>
      <c r="H1265"/>
      <c r="I1265"/>
      <c r="J1265"/>
      <c r="K1265"/>
      <c r="L1265"/>
      <c r="M1265"/>
      <c r="N1265"/>
      <c r="O1265"/>
    </row>
    <row r="1266" spans="2:15" x14ac:dyDescent="0.2">
      <c r="B1266"/>
      <c r="C1266"/>
      <c r="D1266"/>
      <c r="E1266"/>
      <c r="F1266"/>
      <c r="G1266"/>
      <c r="H1266"/>
      <c r="I1266"/>
      <c r="J1266"/>
      <c r="K1266"/>
      <c r="L1266"/>
      <c r="M1266"/>
      <c r="N1266"/>
      <c r="O1266"/>
    </row>
    <row r="1267" spans="2:15" x14ac:dyDescent="0.2"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</row>
    <row r="1268" spans="2:15" x14ac:dyDescent="0.2">
      <c r="B1268"/>
      <c r="C1268"/>
      <c r="D1268"/>
      <c r="E1268"/>
      <c r="F1268"/>
      <c r="G1268"/>
      <c r="H1268"/>
      <c r="I1268"/>
      <c r="J1268"/>
      <c r="K1268"/>
      <c r="L1268"/>
      <c r="M1268"/>
      <c r="N1268"/>
      <c r="O1268"/>
    </row>
    <row r="1269" spans="2:15" x14ac:dyDescent="0.2">
      <c r="B1269"/>
      <c r="C1269"/>
      <c r="D1269"/>
      <c r="E1269"/>
      <c r="F1269"/>
      <c r="G1269"/>
      <c r="H1269"/>
      <c r="I1269"/>
      <c r="J1269"/>
      <c r="K1269"/>
      <c r="L1269"/>
      <c r="M1269"/>
      <c r="N1269"/>
      <c r="O1269"/>
    </row>
    <row r="1270" spans="2:15" x14ac:dyDescent="0.2"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</row>
    <row r="1271" spans="2:15" x14ac:dyDescent="0.2">
      <c r="B1271"/>
      <c r="C1271"/>
      <c r="D1271"/>
      <c r="E1271"/>
      <c r="F1271"/>
      <c r="G1271"/>
      <c r="H1271"/>
      <c r="I1271"/>
      <c r="J1271"/>
      <c r="K1271"/>
      <c r="L1271"/>
      <c r="M1271"/>
      <c r="N1271"/>
      <c r="O1271"/>
    </row>
    <row r="1272" spans="2:15" x14ac:dyDescent="0.2">
      <c r="B1272"/>
      <c r="C1272"/>
      <c r="D1272"/>
      <c r="E1272"/>
      <c r="F1272"/>
      <c r="G1272"/>
      <c r="H1272"/>
      <c r="I1272"/>
      <c r="J1272"/>
      <c r="K1272"/>
      <c r="L1272"/>
      <c r="M1272"/>
      <c r="N1272"/>
      <c r="O1272"/>
    </row>
    <row r="1273" spans="2:15" x14ac:dyDescent="0.2"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</row>
    <row r="1274" spans="2:15" x14ac:dyDescent="0.2">
      <c r="B1274"/>
      <c r="C1274"/>
      <c r="D1274"/>
      <c r="E1274"/>
      <c r="F1274"/>
      <c r="G1274"/>
      <c r="H1274"/>
      <c r="I1274"/>
      <c r="J1274"/>
      <c r="K1274"/>
      <c r="L1274"/>
      <c r="M1274"/>
      <c r="N1274"/>
      <c r="O1274"/>
    </row>
    <row r="1275" spans="2:15" x14ac:dyDescent="0.2">
      <c r="B1275"/>
      <c r="C1275"/>
      <c r="D1275"/>
      <c r="E1275"/>
      <c r="F1275"/>
      <c r="G1275"/>
      <c r="H1275"/>
      <c r="I1275"/>
      <c r="J1275"/>
      <c r="K1275"/>
      <c r="L1275"/>
      <c r="M1275"/>
      <c r="N1275"/>
      <c r="O1275"/>
    </row>
    <row r="1276" spans="2:15" x14ac:dyDescent="0.2"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</row>
    <row r="1277" spans="2:15" x14ac:dyDescent="0.2">
      <c r="B1277"/>
      <c r="C1277"/>
      <c r="D1277"/>
      <c r="E1277"/>
      <c r="F1277"/>
      <c r="G1277"/>
      <c r="H1277"/>
      <c r="I1277"/>
      <c r="J1277"/>
      <c r="K1277"/>
      <c r="L1277"/>
      <c r="M1277"/>
      <c r="N1277"/>
      <c r="O1277"/>
    </row>
    <row r="1278" spans="2:15" x14ac:dyDescent="0.2">
      <c r="B1278"/>
      <c r="C1278"/>
      <c r="D1278"/>
      <c r="E1278"/>
      <c r="F1278"/>
      <c r="G1278"/>
      <c r="H1278"/>
      <c r="I1278"/>
      <c r="J1278"/>
      <c r="K1278"/>
      <c r="L1278"/>
      <c r="M1278"/>
      <c r="N1278"/>
      <c r="O1278"/>
    </row>
    <row r="1279" spans="2:15" x14ac:dyDescent="0.2"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</row>
    <row r="1280" spans="2:15" x14ac:dyDescent="0.2">
      <c r="B1280"/>
      <c r="C1280"/>
      <c r="D1280"/>
      <c r="E1280"/>
      <c r="F1280"/>
      <c r="G1280"/>
      <c r="H1280"/>
      <c r="I1280"/>
      <c r="J1280"/>
      <c r="K1280"/>
      <c r="L1280"/>
      <c r="M1280"/>
      <c r="N1280"/>
      <c r="O1280"/>
    </row>
    <row r="1281" spans="2:15" x14ac:dyDescent="0.2">
      <c r="B1281"/>
      <c r="C1281"/>
      <c r="D1281"/>
      <c r="E1281"/>
      <c r="F1281"/>
      <c r="G1281"/>
      <c r="H1281"/>
      <c r="I1281"/>
      <c r="J1281"/>
      <c r="K1281"/>
      <c r="L1281"/>
      <c r="M1281"/>
      <c r="N1281"/>
      <c r="O1281"/>
    </row>
    <row r="1282" spans="2:15" x14ac:dyDescent="0.2"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</row>
    <row r="1283" spans="2:15" x14ac:dyDescent="0.2">
      <c r="B1283"/>
      <c r="C1283"/>
      <c r="D1283"/>
      <c r="E1283"/>
      <c r="F1283"/>
      <c r="G1283"/>
      <c r="H1283"/>
      <c r="I1283"/>
      <c r="J1283"/>
      <c r="K1283"/>
      <c r="L1283"/>
      <c r="M1283"/>
      <c r="N1283"/>
      <c r="O1283"/>
    </row>
    <row r="1284" spans="2:15" x14ac:dyDescent="0.2">
      <c r="B1284"/>
      <c r="C1284"/>
      <c r="D1284"/>
      <c r="E1284"/>
      <c r="F1284"/>
      <c r="G1284"/>
      <c r="H1284"/>
      <c r="I1284"/>
      <c r="J1284"/>
      <c r="K1284"/>
      <c r="L1284"/>
      <c r="M1284"/>
      <c r="N1284"/>
      <c r="O1284"/>
    </row>
    <row r="1285" spans="2:15" x14ac:dyDescent="0.2"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</row>
    <row r="1286" spans="2:15" x14ac:dyDescent="0.2">
      <c r="B1286"/>
      <c r="C1286"/>
      <c r="D1286"/>
      <c r="E1286"/>
      <c r="F1286"/>
      <c r="G1286"/>
      <c r="H1286"/>
      <c r="I1286"/>
      <c r="J1286"/>
      <c r="K1286"/>
      <c r="L1286"/>
      <c r="M1286"/>
      <c r="N1286"/>
      <c r="O1286"/>
    </row>
    <row r="1287" spans="2:15" x14ac:dyDescent="0.2">
      <c r="B1287"/>
      <c r="C1287"/>
      <c r="D1287"/>
      <c r="E1287"/>
      <c r="F1287"/>
      <c r="G1287"/>
      <c r="H1287"/>
      <c r="I1287"/>
      <c r="J1287"/>
      <c r="K1287"/>
      <c r="L1287"/>
      <c r="M1287"/>
      <c r="N1287"/>
      <c r="O1287"/>
    </row>
    <row r="1288" spans="2:15" x14ac:dyDescent="0.2"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</row>
    <row r="1289" spans="2:15" x14ac:dyDescent="0.2">
      <c r="B1289"/>
      <c r="C1289"/>
      <c r="D1289"/>
      <c r="E1289"/>
      <c r="F1289"/>
      <c r="G1289"/>
      <c r="H1289"/>
      <c r="I1289"/>
      <c r="J1289"/>
      <c r="K1289"/>
      <c r="L1289"/>
      <c r="M1289"/>
      <c r="N1289"/>
      <c r="O1289"/>
    </row>
    <row r="1290" spans="2:15" x14ac:dyDescent="0.2">
      <c r="B1290"/>
      <c r="C1290"/>
      <c r="D1290"/>
      <c r="E1290"/>
      <c r="F1290"/>
      <c r="G1290"/>
      <c r="H1290"/>
      <c r="I1290"/>
      <c r="J1290"/>
      <c r="K1290"/>
      <c r="L1290"/>
      <c r="M1290"/>
      <c r="N1290"/>
      <c r="O1290"/>
    </row>
    <row r="1291" spans="2:15" x14ac:dyDescent="0.2"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</row>
    <row r="1292" spans="2:15" x14ac:dyDescent="0.2">
      <c r="B1292"/>
      <c r="C1292"/>
      <c r="D1292"/>
      <c r="E1292"/>
      <c r="F1292"/>
      <c r="G1292"/>
      <c r="H1292"/>
      <c r="I1292"/>
      <c r="J1292"/>
      <c r="K1292"/>
      <c r="L1292"/>
      <c r="M1292"/>
      <c r="N1292"/>
      <c r="O1292"/>
    </row>
    <row r="1293" spans="2:15" x14ac:dyDescent="0.2">
      <c r="B1293"/>
      <c r="C1293"/>
      <c r="D1293"/>
      <c r="E1293"/>
      <c r="F1293"/>
      <c r="G1293"/>
      <c r="H1293"/>
      <c r="I1293"/>
      <c r="J1293"/>
      <c r="K1293"/>
      <c r="L1293"/>
      <c r="M1293"/>
      <c r="N1293"/>
      <c r="O1293"/>
    </row>
    <row r="1294" spans="2:15" x14ac:dyDescent="0.2"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</row>
    <row r="1295" spans="2:15" x14ac:dyDescent="0.2">
      <c r="B1295"/>
      <c r="C1295"/>
      <c r="D1295"/>
      <c r="E1295"/>
      <c r="F1295"/>
      <c r="G1295"/>
      <c r="H1295"/>
      <c r="I1295"/>
      <c r="J1295"/>
      <c r="K1295"/>
      <c r="L1295"/>
      <c r="M1295"/>
      <c r="N1295"/>
      <c r="O1295"/>
    </row>
    <row r="1296" spans="2:15" x14ac:dyDescent="0.2">
      <c r="B1296"/>
      <c r="C1296"/>
      <c r="D1296"/>
      <c r="E1296"/>
      <c r="F1296"/>
      <c r="G1296"/>
      <c r="H1296"/>
      <c r="I1296"/>
      <c r="J1296"/>
      <c r="K1296"/>
      <c r="L1296"/>
      <c r="M1296"/>
      <c r="N1296"/>
      <c r="O1296"/>
    </row>
    <row r="1297" spans="2:15" x14ac:dyDescent="0.2"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</row>
    <row r="1298" spans="2:15" x14ac:dyDescent="0.2">
      <c r="B1298"/>
      <c r="C1298"/>
      <c r="D1298"/>
      <c r="E1298"/>
      <c r="F1298"/>
      <c r="G1298"/>
      <c r="H1298"/>
      <c r="I1298"/>
      <c r="J1298"/>
      <c r="K1298"/>
      <c r="L1298"/>
      <c r="M1298"/>
      <c r="N1298"/>
      <c r="O1298"/>
    </row>
    <row r="1299" spans="2:15" x14ac:dyDescent="0.2">
      <c r="B1299"/>
      <c r="C1299"/>
      <c r="D1299"/>
      <c r="E1299"/>
      <c r="F1299"/>
      <c r="G1299"/>
      <c r="H1299"/>
      <c r="I1299"/>
      <c r="J1299"/>
      <c r="K1299"/>
      <c r="L1299"/>
      <c r="M1299"/>
      <c r="N1299"/>
      <c r="O1299"/>
    </row>
    <row r="1300" spans="2:15" x14ac:dyDescent="0.2"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</row>
    <row r="1301" spans="2:15" x14ac:dyDescent="0.2">
      <c r="B1301"/>
      <c r="C1301"/>
      <c r="D1301"/>
      <c r="E1301"/>
      <c r="F1301"/>
      <c r="G1301"/>
      <c r="H1301"/>
      <c r="I1301"/>
      <c r="J1301"/>
      <c r="K1301"/>
      <c r="L1301"/>
      <c r="M1301"/>
      <c r="N1301"/>
      <c r="O1301"/>
    </row>
    <row r="1302" spans="2:15" x14ac:dyDescent="0.2">
      <c r="B1302"/>
      <c r="C1302"/>
      <c r="D1302"/>
      <c r="E1302"/>
      <c r="F1302"/>
      <c r="G1302"/>
      <c r="H1302"/>
      <c r="I1302"/>
      <c r="J1302"/>
      <c r="K1302"/>
      <c r="L1302"/>
      <c r="M1302"/>
      <c r="N1302"/>
      <c r="O1302"/>
    </row>
    <row r="1303" spans="2:15" x14ac:dyDescent="0.2"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</row>
    <row r="1304" spans="2:15" x14ac:dyDescent="0.2">
      <c r="B1304"/>
      <c r="C1304"/>
      <c r="D1304"/>
      <c r="E1304"/>
      <c r="F1304"/>
      <c r="G1304"/>
      <c r="H1304"/>
      <c r="I1304"/>
      <c r="J1304"/>
      <c r="K1304"/>
      <c r="L1304"/>
      <c r="M1304"/>
      <c r="N1304"/>
      <c r="O1304"/>
    </row>
    <row r="1305" spans="2:15" x14ac:dyDescent="0.2">
      <c r="B1305"/>
      <c r="C1305"/>
      <c r="D1305"/>
      <c r="E1305"/>
      <c r="F1305"/>
      <c r="G1305"/>
      <c r="H1305"/>
      <c r="I1305"/>
      <c r="J1305"/>
      <c r="K1305"/>
      <c r="L1305"/>
      <c r="M1305"/>
      <c r="N1305"/>
      <c r="O1305"/>
    </row>
    <row r="1306" spans="2:15" x14ac:dyDescent="0.2"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</row>
    <row r="1307" spans="2:15" x14ac:dyDescent="0.2">
      <c r="B1307"/>
      <c r="C1307"/>
      <c r="D1307"/>
      <c r="E1307"/>
      <c r="F1307"/>
      <c r="G1307"/>
      <c r="H1307"/>
      <c r="I1307"/>
      <c r="J1307"/>
      <c r="K1307"/>
      <c r="L1307"/>
      <c r="M1307"/>
      <c r="N1307"/>
      <c r="O1307"/>
    </row>
    <row r="1308" spans="2:15" x14ac:dyDescent="0.2">
      <c r="B1308"/>
      <c r="C1308"/>
      <c r="D1308"/>
      <c r="E1308"/>
      <c r="F1308"/>
      <c r="G1308"/>
      <c r="H1308"/>
      <c r="I1308"/>
      <c r="J1308"/>
      <c r="K1308"/>
      <c r="L1308"/>
      <c r="M1308"/>
      <c r="N1308"/>
      <c r="O1308"/>
    </row>
    <row r="1309" spans="2:15" x14ac:dyDescent="0.2"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</row>
    <row r="1310" spans="2:15" x14ac:dyDescent="0.2">
      <c r="B1310"/>
      <c r="C1310"/>
      <c r="D1310"/>
      <c r="E1310"/>
      <c r="F1310"/>
      <c r="G1310"/>
      <c r="H1310"/>
      <c r="I1310"/>
      <c r="J1310"/>
      <c r="K1310"/>
      <c r="L1310"/>
      <c r="M1310"/>
      <c r="N1310"/>
      <c r="O1310"/>
    </row>
    <row r="1311" spans="2:15" x14ac:dyDescent="0.2">
      <c r="B1311"/>
      <c r="C1311"/>
      <c r="D1311"/>
      <c r="E1311"/>
      <c r="F1311"/>
      <c r="G1311"/>
      <c r="H1311"/>
      <c r="I1311"/>
      <c r="J1311"/>
      <c r="K1311"/>
      <c r="L1311"/>
      <c r="M1311"/>
      <c r="N1311"/>
      <c r="O1311"/>
    </row>
    <row r="1312" spans="2:15" x14ac:dyDescent="0.2"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</row>
    <row r="1313" spans="2:15" x14ac:dyDescent="0.2">
      <c r="B1313"/>
      <c r="C1313"/>
      <c r="D1313"/>
      <c r="E1313"/>
      <c r="F1313"/>
      <c r="G1313"/>
      <c r="H1313"/>
      <c r="I1313"/>
      <c r="J1313"/>
      <c r="K1313"/>
      <c r="L1313"/>
      <c r="M1313"/>
      <c r="N1313"/>
      <c r="O1313"/>
    </row>
    <row r="1314" spans="2:15" x14ac:dyDescent="0.2">
      <c r="B1314"/>
      <c r="C1314"/>
      <c r="D1314"/>
      <c r="E1314"/>
      <c r="F1314"/>
      <c r="G1314"/>
      <c r="H1314"/>
      <c r="I1314"/>
      <c r="J1314"/>
      <c r="K1314"/>
      <c r="L1314"/>
      <c r="M1314"/>
      <c r="N1314"/>
      <c r="O1314"/>
    </row>
    <row r="1315" spans="2:15" x14ac:dyDescent="0.2"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</row>
    <row r="1316" spans="2:15" x14ac:dyDescent="0.2">
      <c r="B1316"/>
      <c r="C1316"/>
      <c r="D1316"/>
      <c r="E1316"/>
      <c r="F1316"/>
      <c r="G1316"/>
      <c r="H1316"/>
      <c r="I1316"/>
      <c r="J1316"/>
      <c r="K1316"/>
      <c r="L1316"/>
      <c r="M1316"/>
      <c r="N1316"/>
      <c r="O1316"/>
    </row>
    <row r="1317" spans="2:15" x14ac:dyDescent="0.2">
      <c r="B1317"/>
      <c r="C1317"/>
      <c r="D1317"/>
      <c r="E1317"/>
      <c r="F1317"/>
      <c r="G1317"/>
      <c r="H1317"/>
      <c r="I1317"/>
      <c r="J1317"/>
      <c r="K1317"/>
      <c r="L1317"/>
      <c r="M1317"/>
      <c r="N1317"/>
      <c r="O1317"/>
    </row>
    <row r="1318" spans="2:15" x14ac:dyDescent="0.2"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</row>
    <row r="1319" spans="2:15" x14ac:dyDescent="0.2">
      <c r="B1319"/>
      <c r="C1319"/>
      <c r="D1319"/>
      <c r="E1319"/>
      <c r="F1319"/>
      <c r="G1319"/>
      <c r="H1319"/>
      <c r="I1319"/>
      <c r="J1319"/>
      <c r="K1319"/>
      <c r="L1319"/>
      <c r="M1319"/>
      <c r="N1319"/>
      <c r="O1319"/>
    </row>
    <row r="1320" spans="2:15" x14ac:dyDescent="0.2">
      <c r="B1320"/>
      <c r="C1320"/>
      <c r="D1320"/>
      <c r="E1320"/>
      <c r="F1320"/>
      <c r="G1320"/>
      <c r="H1320"/>
      <c r="I1320"/>
      <c r="J1320"/>
      <c r="K1320"/>
      <c r="L1320"/>
      <c r="M1320"/>
      <c r="N1320"/>
      <c r="O1320"/>
    </row>
    <row r="1321" spans="2:15" x14ac:dyDescent="0.2"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</row>
    <row r="1322" spans="2:15" x14ac:dyDescent="0.2">
      <c r="B1322"/>
      <c r="C1322"/>
      <c r="D1322"/>
      <c r="E1322"/>
      <c r="F1322"/>
      <c r="G1322"/>
      <c r="H1322"/>
      <c r="I1322"/>
      <c r="J1322"/>
      <c r="K1322"/>
      <c r="L1322"/>
      <c r="M1322"/>
      <c r="N1322"/>
      <c r="O1322"/>
    </row>
    <row r="1323" spans="2:15" x14ac:dyDescent="0.2">
      <c r="B1323"/>
      <c r="C1323"/>
      <c r="D1323"/>
      <c r="E1323"/>
      <c r="F1323"/>
      <c r="G1323"/>
      <c r="H1323"/>
      <c r="I1323"/>
      <c r="J1323"/>
      <c r="K1323"/>
      <c r="L1323"/>
      <c r="M1323"/>
      <c r="N1323"/>
      <c r="O1323"/>
    </row>
    <row r="1324" spans="2:15" x14ac:dyDescent="0.2"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</row>
    <row r="1325" spans="2:15" x14ac:dyDescent="0.2">
      <c r="B1325"/>
      <c r="C1325"/>
      <c r="D1325"/>
      <c r="E1325"/>
      <c r="F1325"/>
      <c r="G1325"/>
      <c r="H1325"/>
      <c r="I1325"/>
      <c r="J1325"/>
      <c r="K1325"/>
      <c r="L1325"/>
      <c r="M1325"/>
      <c r="N1325"/>
      <c r="O1325"/>
    </row>
    <row r="1326" spans="2:15" x14ac:dyDescent="0.2">
      <c r="B1326"/>
      <c r="C1326"/>
      <c r="D1326"/>
      <c r="E1326"/>
      <c r="F1326"/>
      <c r="G1326"/>
      <c r="H1326"/>
      <c r="I1326"/>
      <c r="J1326"/>
      <c r="K1326"/>
      <c r="L1326"/>
      <c r="M1326"/>
      <c r="N1326"/>
      <c r="O1326"/>
    </row>
    <row r="1327" spans="2:15" x14ac:dyDescent="0.2"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</row>
    <row r="1328" spans="2:15" x14ac:dyDescent="0.2">
      <c r="B1328"/>
      <c r="C1328"/>
      <c r="D1328"/>
      <c r="E1328"/>
      <c r="F1328"/>
      <c r="G1328"/>
      <c r="H1328"/>
      <c r="I1328"/>
      <c r="J1328"/>
      <c r="K1328"/>
      <c r="L1328"/>
      <c r="M1328"/>
      <c r="N1328"/>
      <c r="O1328"/>
    </row>
    <row r="1329" spans="2:15" x14ac:dyDescent="0.2">
      <c r="B1329"/>
      <c r="C1329"/>
      <c r="D1329"/>
      <c r="E1329"/>
      <c r="F1329"/>
      <c r="G1329"/>
      <c r="H1329"/>
      <c r="I1329"/>
      <c r="J1329"/>
      <c r="K1329"/>
      <c r="L1329"/>
      <c r="M1329"/>
      <c r="N1329"/>
      <c r="O1329"/>
    </row>
    <row r="1330" spans="2:15" x14ac:dyDescent="0.2"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</row>
    <row r="1331" spans="2:15" x14ac:dyDescent="0.2">
      <c r="B1331"/>
      <c r="C1331"/>
      <c r="D1331"/>
      <c r="E1331"/>
      <c r="F1331"/>
      <c r="G1331"/>
      <c r="H1331"/>
      <c r="I1331"/>
      <c r="J1331"/>
      <c r="K1331"/>
      <c r="L1331"/>
      <c r="M1331"/>
      <c r="N1331"/>
      <c r="O1331"/>
    </row>
    <row r="1332" spans="2:15" x14ac:dyDescent="0.2">
      <c r="B1332"/>
      <c r="C1332"/>
      <c r="D1332"/>
      <c r="E1332"/>
      <c r="F1332"/>
      <c r="G1332"/>
      <c r="H1332"/>
      <c r="I1332"/>
      <c r="J1332"/>
      <c r="K1332"/>
      <c r="L1332"/>
      <c r="M1332"/>
      <c r="N1332"/>
      <c r="O1332"/>
    </row>
    <row r="1333" spans="2:15" x14ac:dyDescent="0.2">
      <c r="B1333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</row>
    <row r="1334" spans="2:15" x14ac:dyDescent="0.2">
      <c r="B1334"/>
      <c r="C1334"/>
      <c r="D1334"/>
      <c r="E1334"/>
      <c r="F1334"/>
      <c r="G1334"/>
      <c r="H1334"/>
      <c r="I1334"/>
      <c r="J1334"/>
      <c r="K1334"/>
      <c r="L1334"/>
      <c r="M1334"/>
      <c r="N1334"/>
      <c r="O1334"/>
    </row>
    <row r="1335" spans="2:15" x14ac:dyDescent="0.2">
      <c r="B1335"/>
      <c r="C1335"/>
      <c r="D1335"/>
      <c r="E1335"/>
      <c r="F1335"/>
      <c r="G1335"/>
      <c r="H1335"/>
      <c r="I1335"/>
      <c r="J1335"/>
      <c r="K1335"/>
      <c r="L1335"/>
      <c r="M1335"/>
      <c r="N1335"/>
      <c r="O1335"/>
    </row>
    <row r="1336" spans="2:15" x14ac:dyDescent="0.2">
      <c r="B1336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</row>
    <row r="1337" spans="2:15" x14ac:dyDescent="0.2">
      <c r="B1337"/>
      <c r="C1337"/>
      <c r="D1337"/>
      <c r="E1337"/>
      <c r="F1337"/>
      <c r="G1337"/>
      <c r="H1337"/>
      <c r="I1337"/>
      <c r="J1337"/>
      <c r="K1337"/>
      <c r="L1337"/>
      <c r="M1337"/>
      <c r="N1337"/>
      <c r="O1337"/>
    </row>
    <row r="1338" spans="2:15" x14ac:dyDescent="0.2">
      <c r="B1338"/>
      <c r="C1338"/>
      <c r="D1338"/>
      <c r="E1338"/>
      <c r="F1338"/>
      <c r="G1338"/>
      <c r="H1338"/>
      <c r="I1338"/>
      <c r="J1338"/>
      <c r="K1338"/>
      <c r="L1338"/>
      <c r="M1338"/>
      <c r="N1338"/>
      <c r="O1338"/>
    </row>
    <row r="1339" spans="2:15" x14ac:dyDescent="0.2">
      <c r="B1339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</row>
    <row r="1340" spans="2:15" x14ac:dyDescent="0.2">
      <c r="B1340"/>
      <c r="C1340"/>
      <c r="D1340"/>
      <c r="E1340"/>
      <c r="F1340"/>
      <c r="G1340"/>
      <c r="H1340"/>
      <c r="I1340"/>
      <c r="J1340"/>
      <c r="K1340"/>
      <c r="L1340"/>
      <c r="M1340"/>
      <c r="N1340"/>
      <c r="O1340"/>
    </row>
    <row r="1341" spans="2:15" x14ac:dyDescent="0.2">
      <c r="B1341"/>
      <c r="C1341"/>
      <c r="D1341"/>
      <c r="E1341"/>
      <c r="F1341"/>
      <c r="G1341"/>
      <c r="H1341"/>
      <c r="I1341"/>
      <c r="J1341"/>
      <c r="K1341"/>
      <c r="L1341"/>
      <c r="M1341"/>
      <c r="N1341"/>
      <c r="O1341"/>
    </row>
    <row r="1342" spans="2:15" x14ac:dyDescent="0.2">
      <c r="B1342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</row>
    <row r="1343" spans="2:15" x14ac:dyDescent="0.2">
      <c r="B1343"/>
      <c r="C1343"/>
      <c r="D1343"/>
      <c r="E1343"/>
      <c r="F1343"/>
      <c r="G1343"/>
      <c r="H1343"/>
      <c r="I1343"/>
      <c r="J1343"/>
      <c r="K1343"/>
      <c r="L1343"/>
      <c r="M1343"/>
      <c r="N1343"/>
      <c r="O1343"/>
    </row>
    <row r="1344" spans="2:15" x14ac:dyDescent="0.2">
      <c r="B1344"/>
      <c r="C1344"/>
      <c r="D1344"/>
      <c r="E1344"/>
      <c r="F1344"/>
      <c r="G1344"/>
      <c r="H1344"/>
      <c r="I1344"/>
      <c r="J1344"/>
      <c r="K1344"/>
      <c r="L1344"/>
      <c r="M1344"/>
      <c r="N1344"/>
      <c r="O1344"/>
    </row>
    <row r="1345" spans="2:15" x14ac:dyDescent="0.2">
      <c r="B1345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</row>
    <row r="1346" spans="2:15" x14ac:dyDescent="0.2">
      <c r="B1346"/>
      <c r="C1346"/>
      <c r="D1346"/>
      <c r="E1346"/>
      <c r="F1346"/>
      <c r="G1346"/>
      <c r="H1346"/>
      <c r="I1346"/>
      <c r="J1346"/>
      <c r="K1346"/>
      <c r="L1346"/>
      <c r="M1346"/>
      <c r="N1346"/>
      <c r="O1346"/>
    </row>
    <row r="1347" spans="2:15" x14ac:dyDescent="0.2">
      <c r="B1347"/>
      <c r="C1347"/>
      <c r="D1347"/>
      <c r="E1347"/>
      <c r="F1347"/>
      <c r="G1347"/>
      <c r="H1347"/>
      <c r="I1347"/>
      <c r="J1347"/>
      <c r="K1347"/>
      <c r="L1347"/>
      <c r="M1347"/>
      <c r="N1347"/>
      <c r="O1347"/>
    </row>
    <row r="1348" spans="2:15" x14ac:dyDescent="0.2">
      <c r="B1348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</row>
    <row r="1349" spans="2:15" x14ac:dyDescent="0.2">
      <c r="B1349"/>
      <c r="C1349"/>
      <c r="D1349"/>
      <c r="E1349"/>
      <c r="F1349"/>
      <c r="G1349"/>
      <c r="H1349"/>
      <c r="I1349"/>
      <c r="J1349"/>
      <c r="K1349"/>
      <c r="L1349"/>
      <c r="M1349"/>
      <c r="N1349"/>
      <c r="O1349"/>
    </row>
    <row r="1350" spans="2:15" x14ac:dyDescent="0.2">
      <c r="B1350"/>
      <c r="C1350"/>
      <c r="D1350"/>
      <c r="E1350"/>
      <c r="F1350"/>
      <c r="G1350"/>
      <c r="H1350"/>
      <c r="I1350"/>
      <c r="J1350"/>
      <c r="K1350"/>
      <c r="L1350"/>
      <c r="M1350"/>
      <c r="N1350"/>
      <c r="O1350"/>
    </row>
    <row r="1351" spans="2:15" x14ac:dyDescent="0.2">
      <c r="B1351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</row>
    <row r="1352" spans="2:15" x14ac:dyDescent="0.2">
      <c r="B1352"/>
      <c r="C1352"/>
      <c r="D1352"/>
      <c r="E1352"/>
      <c r="F1352"/>
      <c r="G1352"/>
      <c r="H1352"/>
      <c r="I1352"/>
      <c r="J1352"/>
      <c r="K1352"/>
      <c r="L1352"/>
      <c r="M1352"/>
      <c r="N1352"/>
      <c r="O1352"/>
    </row>
    <row r="1353" spans="2:15" x14ac:dyDescent="0.2">
      <c r="B1353"/>
      <c r="C1353"/>
      <c r="D1353"/>
      <c r="E1353"/>
      <c r="F1353"/>
      <c r="G1353"/>
      <c r="H1353"/>
      <c r="I1353"/>
      <c r="J1353"/>
      <c r="K1353"/>
      <c r="L1353"/>
      <c r="M1353"/>
      <c r="N1353"/>
      <c r="O1353"/>
    </row>
    <row r="1354" spans="2:15" x14ac:dyDescent="0.2">
      <c r="B1354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</row>
    <row r="1355" spans="2:15" x14ac:dyDescent="0.2">
      <c r="B1355"/>
      <c r="C1355"/>
      <c r="D1355"/>
      <c r="E1355"/>
      <c r="F1355"/>
      <c r="G1355"/>
      <c r="H1355"/>
      <c r="I1355"/>
      <c r="J1355"/>
      <c r="K1355"/>
      <c r="L1355"/>
      <c r="M1355"/>
      <c r="N1355"/>
      <c r="O1355"/>
    </row>
    <row r="1356" spans="2:15" x14ac:dyDescent="0.2">
      <c r="B1356"/>
      <c r="C1356"/>
      <c r="D1356"/>
      <c r="E1356"/>
      <c r="F1356"/>
      <c r="G1356"/>
      <c r="H1356"/>
      <c r="I1356"/>
      <c r="J1356"/>
      <c r="K1356"/>
      <c r="L1356"/>
      <c r="M1356"/>
      <c r="N1356"/>
      <c r="O1356"/>
    </row>
    <row r="1357" spans="2:15" x14ac:dyDescent="0.2">
      <c r="B135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</row>
    <row r="1358" spans="2:15" x14ac:dyDescent="0.2">
      <c r="B1358"/>
      <c r="C1358"/>
      <c r="D1358"/>
      <c r="E1358"/>
      <c r="F1358"/>
      <c r="G1358"/>
      <c r="H1358"/>
      <c r="I1358"/>
      <c r="J1358"/>
      <c r="K1358"/>
      <c r="L1358"/>
      <c r="M1358"/>
      <c r="N1358"/>
      <c r="O1358"/>
    </row>
    <row r="1359" spans="2:15" x14ac:dyDescent="0.2">
      <c r="B1359"/>
      <c r="C1359"/>
      <c r="D1359"/>
      <c r="E1359"/>
      <c r="F1359"/>
      <c r="G1359"/>
      <c r="H1359"/>
      <c r="I1359"/>
      <c r="J1359"/>
      <c r="K1359"/>
      <c r="L1359"/>
      <c r="M1359"/>
      <c r="N1359"/>
      <c r="O1359"/>
    </row>
    <row r="1360" spans="2:15" x14ac:dyDescent="0.2">
      <c r="B1360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</row>
    <row r="1361" spans="2:15" x14ac:dyDescent="0.2">
      <c r="B1361"/>
      <c r="C1361"/>
      <c r="D1361"/>
      <c r="E1361"/>
      <c r="F1361"/>
      <c r="G1361"/>
      <c r="H1361"/>
      <c r="I1361"/>
      <c r="J1361"/>
      <c r="K1361"/>
      <c r="L1361"/>
      <c r="M1361"/>
      <c r="N1361"/>
      <c r="O1361"/>
    </row>
    <row r="1362" spans="2:15" x14ac:dyDescent="0.2">
      <c r="B1362"/>
      <c r="C1362"/>
      <c r="D1362"/>
      <c r="E1362"/>
      <c r="F1362"/>
      <c r="G1362"/>
      <c r="H1362"/>
      <c r="I1362"/>
      <c r="J1362"/>
      <c r="K1362"/>
      <c r="L1362"/>
      <c r="M1362"/>
      <c r="N1362"/>
      <c r="O1362"/>
    </row>
    <row r="1363" spans="2:15" x14ac:dyDescent="0.2">
      <c r="B1363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</row>
    <row r="1364" spans="2:15" x14ac:dyDescent="0.2">
      <c r="B1364"/>
      <c r="C1364"/>
      <c r="D1364"/>
      <c r="E1364"/>
      <c r="F1364"/>
      <c r="G1364"/>
      <c r="H1364"/>
      <c r="I1364"/>
      <c r="J1364"/>
      <c r="K1364"/>
      <c r="L1364"/>
      <c r="M1364"/>
      <c r="N1364"/>
      <c r="O1364"/>
    </row>
    <row r="1365" spans="2:15" x14ac:dyDescent="0.2">
      <c r="B1365"/>
      <c r="C1365"/>
      <c r="D1365"/>
      <c r="E1365"/>
      <c r="F1365"/>
      <c r="G1365"/>
      <c r="H1365"/>
      <c r="I1365"/>
      <c r="J1365"/>
      <c r="K1365"/>
      <c r="L1365"/>
      <c r="M1365"/>
      <c r="N1365"/>
      <c r="O1365"/>
    </row>
    <row r="1366" spans="2:15" x14ac:dyDescent="0.2">
      <c r="B1366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</row>
    <row r="1367" spans="2:15" x14ac:dyDescent="0.2">
      <c r="B1367"/>
      <c r="C1367"/>
      <c r="D1367"/>
      <c r="E1367"/>
      <c r="F1367"/>
      <c r="G1367"/>
      <c r="H1367"/>
      <c r="I1367"/>
      <c r="J1367"/>
      <c r="K1367"/>
      <c r="L1367"/>
      <c r="M1367"/>
      <c r="N1367"/>
      <c r="O1367"/>
    </row>
    <row r="1368" spans="2:15" x14ac:dyDescent="0.2">
      <c r="B1368"/>
      <c r="C1368"/>
      <c r="D1368"/>
      <c r="E1368"/>
      <c r="F1368"/>
      <c r="G1368"/>
      <c r="H1368"/>
      <c r="I1368"/>
      <c r="J1368"/>
      <c r="K1368"/>
      <c r="L1368"/>
      <c r="M1368"/>
      <c r="N1368"/>
      <c r="O1368"/>
    </row>
    <row r="1369" spans="2:15" x14ac:dyDescent="0.2">
      <c r="B1369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</row>
    <row r="1370" spans="2:15" x14ac:dyDescent="0.2">
      <c r="B1370"/>
      <c r="C1370"/>
      <c r="D1370"/>
      <c r="E1370"/>
      <c r="F1370"/>
      <c r="G1370"/>
      <c r="H1370"/>
      <c r="I1370"/>
      <c r="J1370"/>
      <c r="K1370"/>
      <c r="L1370"/>
      <c r="M1370"/>
      <c r="N1370"/>
      <c r="O1370"/>
    </row>
    <row r="1371" spans="2:15" x14ac:dyDescent="0.2">
      <c r="B1371"/>
      <c r="C1371"/>
      <c r="D1371"/>
      <c r="E1371"/>
      <c r="F1371"/>
      <c r="G1371"/>
      <c r="H1371"/>
      <c r="I1371"/>
      <c r="J1371"/>
      <c r="K1371"/>
      <c r="L1371"/>
      <c r="M1371"/>
      <c r="N1371"/>
      <c r="O1371"/>
    </row>
    <row r="1372" spans="2:15" x14ac:dyDescent="0.2">
      <c r="B1372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</row>
    <row r="1373" spans="2:15" x14ac:dyDescent="0.2">
      <c r="B1373"/>
      <c r="C1373"/>
      <c r="D1373"/>
      <c r="E1373"/>
      <c r="F1373"/>
      <c r="G1373"/>
      <c r="H1373"/>
      <c r="I1373"/>
      <c r="J1373"/>
      <c r="K1373"/>
      <c r="L1373"/>
      <c r="M1373"/>
      <c r="N1373"/>
      <c r="O1373"/>
    </row>
    <row r="1374" spans="2:15" x14ac:dyDescent="0.2">
      <c r="B1374"/>
      <c r="C1374"/>
      <c r="D1374"/>
      <c r="E1374"/>
      <c r="F1374"/>
      <c r="G1374"/>
      <c r="H1374"/>
      <c r="I1374"/>
      <c r="J1374"/>
      <c r="K1374"/>
      <c r="L1374"/>
      <c r="M1374"/>
      <c r="N1374"/>
      <c r="O1374"/>
    </row>
    <row r="1375" spans="2:15" x14ac:dyDescent="0.2">
      <c r="B1375"/>
      <c r="C1375"/>
      <c r="D1375"/>
      <c r="E1375"/>
      <c r="F1375"/>
      <c r="G1375"/>
      <c r="H1375"/>
      <c r="I1375"/>
      <c r="J1375"/>
      <c r="K1375"/>
      <c r="L1375"/>
      <c r="M1375"/>
      <c r="N1375"/>
      <c r="O1375"/>
    </row>
    <row r="1376" spans="2:15" x14ac:dyDescent="0.2">
      <c r="B1376"/>
      <c r="C1376"/>
      <c r="D1376"/>
      <c r="E1376"/>
      <c r="F1376"/>
      <c r="G1376"/>
      <c r="H1376"/>
      <c r="I1376"/>
      <c r="J1376"/>
      <c r="K1376"/>
      <c r="L1376"/>
      <c r="M1376"/>
      <c r="N1376"/>
      <c r="O1376"/>
    </row>
    <row r="1377" spans="2:15" x14ac:dyDescent="0.2">
      <c r="B1377"/>
      <c r="C1377"/>
      <c r="D1377"/>
      <c r="E1377"/>
      <c r="F1377"/>
      <c r="G1377"/>
      <c r="H1377"/>
      <c r="I1377"/>
      <c r="J1377"/>
      <c r="K1377"/>
      <c r="L1377"/>
      <c r="M1377"/>
      <c r="N1377"/>
      <c r="O1377"/>
    </row>
    <row r="1378" spans="2:15" x14ac:dyDescent="0.2">
      <c r="B1378"/>
      <c r="C1378"/>
      <c r="D1378"/>
      <c r="E1378"/>
      <c r="F1378"/>
      <c r="G1378"/>
      <c r="H1378"/>
      <c r="I1378"/>
      <c r="J1378"/>
      <c r="K1378"/>
      <c r="L1378"/>
      <c r="M1378"/>
      <c r="N1378"/>
      <c r="O1378"/>
    </row>
    <row r="1379" spans="2:15" x14ac:dyDescent="0.2">
      <c r="B1379"/>
      <c r="C1379"/>
      <c r="D1379"/>
      <c r="E1379"/>
      <c r="F1379"/>
      <c r="G1379"/>
      <c r="H1379"/>
      <c r="I1379"/>
      <c r="J1379"/>
      <c r="K1379"/>
      <c r="L1379"/>
      <c r="M1379"/>
      <c r="N1379"/>
      <c r="O1379"/>
    </row>
    <row r="1380" spans="2:15" x14ac:dyDescent="0.2">
      <c r="B1380"/>
      <c r="C1380"/>
      <c r="D1380"/>
      <c r="E1380"/>
      <c r="F1380"/>
      <c r="G1380"/>
      <c r="H1380"/>
      <c r="I1380"/>
      <c r="J1380"/>
      <c r="K1380"/>
      <c r="L1380"/>
      <c r="M1380"/>
      <c r="N1380"/>
      <c r="O1380"/>
    </row>
    <row r="1381" spans="2:15" x14ac:dyDescent="0.2">
      <c r="B1381"/>
      <c r="C1381"/>
      <c r="D1381"/>
      <c r="E1381"/>
      <c r="F1381"/>
      <c r="G1381"/>
      <c r="H1381"/>
      <c r="I1381"/>
      <c r="J1381"/>
      <c r="K1381"/>
      <c r="L1381"/>
      <c r="M1381"/>
      <c r="N1381"/>
      <c r="O1381"/>
    </row>
    <row r="1382" spans="2:15" x14ac:dyDescent="0.2">
      <c r="B1382"/>
      <c r="C1382"/>
      <c r="D1382"/>
      <c r="E1382"/>
      <c r="F1382"/>
      <c r="G1382"/>
      <c r="H1382"/>
      <c r="I1382"/>
      <c r="J1382"/>
      <c r="K1382"/>
      <c r="L1382"/>
      <c r="M1382"/>
      <c r="N1382"/>
      <c r="O1382"/>
    </row>
    <row r="1383" spans="2:15" x14ac:dyDescent="0.2">
      <c r="B1383"/>
      <c r="C1383"/>
      <c r="D1383"/>
      <c r="E1383"/>
      <c r="F1383"/>
      <c r="G1383"/>
      <c r="H1383"/>
      <c r="I1383"/>
      <c r="J1383"/>
      <c r="K1383"/>
      <c r="L1383"/>
      <c r="M1383"/>
      <c r="N1383"/>
      <c r="O1383"/>
    </row>
    <row r="1384" spans="2:15" x14ac:dyDescent="0.2">
      <c r="B1384"/>
      <c r="C1384"/>
      <c r="D1384"/>
      <c r="E1384"/>
      <c r="F1384"/>
      <c r="G1384"/>
      <c r="H1384"/>
      <c r="I1384"/>
      <c r="J1384"/>
      <c r="K1384"/>
      <c r="L1384"/>
      <c r="M1384"/>
      <c r="N1384"/>
      <c r="O1384"/>
    </row>
    <row r="1385" spans="2:15" x14ac:dyDescent="0.2">
      <c r="B1385"/>
      <c r="C1385"/>
      <c r="D1385"/>
      <c r="E1385"/>
      <c r="F1385"/>
      <c r="G1385"/>
      <c r="H1385"/>
      <c r="I1385"/>
      <c r="J1385"/>
      <c r="K1385"/>
      <c r="L1385"/>
      <c r="M1385"/>
      <c r="N1385"/>
      <c r="O1385"/>
    </row>
    <row r="1386" spans="2:15" x14ac:dyDescent="0.2">
      <c r="B1386"/>
      <c r="C1386"/>
      <c r="D1386"/>
      <c r="E1386"/>
      <c r="F1386"/>
      <c r="G1386"/>
      <c r="H1386"/>
      <c r="I1386"/>
      <c r="J1386"/>
      <c r="K1386"/>
      <c r="L1386"/>
      <c r="M1386"/>
      <c r="N1386"/>
      <c r="O1386"/>
    </row>
    <row r="1387" spans="2:15" x14ac:dyDescent="0.2">
      <c r="B138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</row>
    <row r="1388" spans="2:15" x14ac:dyDescent="0.2">
      <c r="B1388"/>
      <c r="C1388"/>
      <c r="D1388"/>
      <c r="E1388"/>
      <c r="F1388"/>
      <c r="G1388"/>
      <c r="H1388"/>
      <c r="I1388"/>
      <c r="J1388"/>
      <c r="K1388"/>
      <c r="L1388"/>
      <c r="M1388"/>
      <c r="N1388"/>
      <c r="O1388"/>
    </row>
    <row r="1389" spans="2:15" x14ac:dyDescent="0.2">
      <c r="B1389"/>
      <c r="C1389"/>
      <c r="D1389"/>
      <c r="E1389"/>
      <c r="F1389"/>
      <c r="G1389"/>
      <c r="H1389"/>
      <c r="I1389"/>
      <c r="J1389"/>
      <c r="K1389"/>
      <c r="L1389"/>
      <c r="M1389"/>
      <c r="N1389"/>
      <c r="O1389"/>
    </row>
    <row r="1390" spans="2:15" x14ac:dyDescent="0.2">
      <c r="B1390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</row>
    <row r="1391" spans="2:15" x14ac:dyDescent="0.2">
      <c r="B1391"/>
      <c r="C1391"/>
      <c r="D1391"/>
      <c r="E1391"/>
      <c r="F1391"/>
      <c r="G1391"/>
      <c r="H1391"/>
      <c r="I1391"/>
      <c r="J1391"/>
      <c r="K1391"/>
      <c r="L1391"/>
      <c r="M1391"/>
      <c r="N1391"/>
      <c r="O1391"/>
    </row>
    <row r="1392" spans="2:15" x14ac:dyDescent="0.2">
      <c r="B1392"/>
      <c r="C1392"/>
      <c r="D1392"/>
      <c r="E1392"/>
      <c r="F1392"/>
      <c r="G1392"/>
      <c r="H1392"/>
      <c r="I1392"/>
      <c r="J1392"/>
      <c r="K1392"/>
      <c r="L1392"/>
      <c r="M1392"/>
      <c r="N1392"/>
      <c r="O1392"/>
    </row>
    <row r="1393" spans="2:15" x14ac:dyDescent="0.2">
      <c r="B1393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</row>
    <row r="1394" spans="2:15" x14ac:dyDescent="0.2">
      <c r="B1394"/>
      <c r="C1394"/>
      <c r="D1394"/>
      <c r="E1394"/>
      <c r="F1394"/>
      <c r="G1394"/>
      <c r="H1394"/>
      <c r="I1394"/>
      <c r="J1394"/>
      <c r="K1394"/>
      <c r="L1394"/>
      <c r="M1394"/>
      <c r="N1394"/>
      <c r="O1394"/>
    </row>
    <row r="1395" spans="2:15" x14ac:dyDescent="0.2">
      <c r="B1395"/>
      <c r="C1395"/>
      <c r="D1395"/>
      <c r="E1395"/>
      <c r="F1395"/>
      <c r="G1395"/>
      <c r="H1395"/>
      <c r="I1395"/>
      <c r="J1395"/>
      <c r="K1395"/>
      <c r="L1395"/>
      <c r="M1395"/>
      <c r="N1395"/>
      <c r="O1395"/>
    </row>
    <row r="1396" spans="2:15" x14ac:dyDescent="0.2">
      <c r="B1396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</row>
    <row r="1397" spans="2:15" x14ac:dyDescent="0.2">
      <c r="B1397"/>
      <c r="C1397"/>
      <c r="D1397"/>
      <c r="E1397"/>
      <c r="F1397"/>
      <c r="G1397"/>
      <c r="H1397"/>
      <c r="I1397"/>
      <c r="J1397"/>
      <c r="K1397"/>
      <c r="L1397"/>
      <c r="M1397"/>
      <c r="N1397"/>
      <c r="O1397"/>
    </row>
    <row r="1398" spans="2:15" x14ac:dyDescent="0.2">
      <c r="B1398"/>
      <c r="C1398"/>
      <c r="D1398"/>
      <c r="E1398"/>
      <c r="F1398"/>
      <c r="G1398"/>
      <c r="H1398"/>
      <c r="I1398"/>
      <c r="J1398"/>
      <c r="K1398"/>
      <c r="L1398"/>
      <c r="M1398"/>
      <c r="N1398"/>
      <c r="O1398"/>
    </row>
    <row r="1399" spans="2:15" x14ac:dyDescent="0.2">
      <c r="B1399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</row>
    <row r="1400" spans="2:15" x14ac:dyDescent="0.2">
      <c r="B1400"/>
      <c r="C1400"/>
      <c r="D1400"/>
      <c r="E1400"/>
      <c r="F1400"/>
      <c r="G1400"/>
      <c r="H1400"/>
      <c r="I1400"/>
      <c r="J1400"/>
      <c r="K1400"/>
      <c r="L1400"/>
      <c r="M1400"/>
      <c r="N1400"/>
      <c r="O1400"/>
    </row>
    <row r="1401" spans="2:15" x14ac:dyDescent="0.2">
      <c r="B1401"/>
      <c r="C1401"/>
      <c r="D1401"/>
      <c r="E1401"/>
      <c r="F1401"/>
      <c r="G1401"/>
      <c r="H1401"/>
      <c r="I1401"/>
      <c r="J1401"/>
      <c r="K1401"/>
      <c r="L1401"/>
      <c r="M1401"/>
      <c r="N1401"/>
      <c r="O1401"/>
    </row>
    <row r="1402" spans="2:15" x14ac:dyDescent="0.2">
      <c r="B1402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</row>
    <row r="1403" spans="2:15" x14ac:dyDescent="0.2">
      <c r="B1403"/>
      <c r="C1403"/>
      <c r="D1403"/>
      <c r="E1403"/>
      <c r="F1403"/>
      <c r="G1403"/>
      <c r="H1403"/>
      <c r="I1403"/>
      <c r="J1403"/>
      <c r="K1403"/>
      <c r="L1403"/>
      <c r="M1403"/>
      <c r="N1403"/>
      <c r="O1403"/>
    </row>
    <row r="1404" spans="2:15" x14ac:dyDescent="0.2">
      <c r="B1404"/>
      <c r="C1404"/>
      <c r="D1404"/>
      <c r="E1404"/>
      <c r="F1404"/>
      <c r="G1404"/>
      <c r="H1404"/>
      <c r="I1404"/>
      <c r="J1404"/>
      <c r="K1404"/>
      <c r="L1404"/>
      <c r="M1404"/>
      <c r="N1404"/>
      <c r="O1404"/>
    </row>
    <row r="1405" spans="2:15" x14ac:dyDescent="0.2">
      <c r="B1405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</row>
    <row r="1406" spans="2:15" x14ac:dyDescent="0.2">
      <c r="B1406"/>
      <c r="C1406"/>
      <c r="D1406"/>
      <c r="E1406"/>
      <c r="F1406"/>
      <c r="G1406"/>
      <c r="H1406"/>
      <c r="I1406"/>
      <c r="J1406"/>
      <c r="K1406"/>
      <c r="L1406"/>
      <c r="M1406"/>
      <c r="N1406"/>
      <c r="O1406"/>
    </row>
    <row r="1407" spans="2:15" x14ac:dyDescent="0.2">
      <c r="B1407"/>
      <c r="C1407"/>
      <c r="D1407"/>
      <c r="E1407"/>
      <c r="F1407"/>
      <c r="G1407"/>
      <c r="H1407"/>
      <c r="I1407"/>
      <c r="J1407"/>
      <c r="K1407"/>
      <c r="L1407"/>
      <c r="M1407"/>
      <c r="N1407"/>
      <c r="O1407"/>
    </row>
    <row r="1408" spans="2:15" x14ac:dyDescent="0.2">
      <c r="B1408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</row>
    <row r="1409" spans="2:15" x14ac:dyDescent="0.2">
      <c r="B1409"/>
      <c r="C1409"/>
      <c r="D1409"/>
      <c r="E1409"/>
      <c r="F1409"/>
      <c r="G1409"/>
      <c r="H1409"/>
      <c r="I1409"/>
      <c r="J1409"/>
      <c r="K1409"/>
      <c r="L1409"/>
      <c r="M1409"/>
      <c r="N1409"/>
      <c r="O1409"/>
    </row>
    <row r="1410" spans="2:15" x14ac:dyDescent="0.2">
      <c r="B1410"/>
      <c r="C1410"/>
      <c r="D1410"/>
      <c r="E1410"/>
      <c r="F1410"/>
      <c r="G1410"/>
      <c r="H1410"/>
      <c r="I1410"/>
      <c r="J1410"/>
      <c r="K1410"/>
      <c r="L1410"/>
      <c r="M1410"/>
      <c r="N1410"/>
      <c r="O1410"/>
    </row>
    <row r="1411" spans="2:15" x14ac:dyDescent="0.2">
      <c r="B1411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</row>
    <row r="1412" spans="2:15" x14ac:dyDescent="0.2">
      <c r="B1412"/>
      <c r="C1412"/>
      <c r="D1412"/>
      <c r="E1412"/>
      <c r="F1412"/>
      <c r="G1412"/>
      <c r="H1412"/>
      <c r="I1412"/>
      <c r="J1412"/>
      <c r="K1412"/>
      <c r="L1412"/>
      <c r="M1412"/>
      <c r="N1412"/>
      <c r="O1412"/>
    </row>
    <row r="1413" spans="2:15" x14ac:dyDescent="0.2">
      <c r="B1413"/>
      <c r="C1413"/>
      <c r="D1413"/>
      <c r="E1413"/>
      <c r="F1413"/>
      <c r="G1413"/>
      <c r="H1413"/>
      <c r="I1413"/>
      <c r="J1413"/>
      <c r="K1413"/>
      <c r="L1413"/>
      <c r="M1413"/>
      <c r="N1413"/>
      <c r="O1413"/>
    </row>
    <row r="1414" spans="2:15" x14ac:dyDescent="0.2">
      <c r="B1414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</row>
    <row r="1415" spans="2:15" x14ac:dyDescent="0.2">
      <c r="B1415"/>
      <c r="C1415"/>
      <c r="D1415"/>
      <c r="E1415"/>
      <c r="F1415"/>
      <c r="G1415"/>
      <c r="H1415"/>
      <c r="I1415"/>
      <c r="J1415"/>
      <c r="K1415"/>
      <c r="L1415"/>
      <c r="M1415"/>
      <c r="N1415"/>
      <c r="O1415"/>
    </row>
    <row r="1416" spans="2:15" x14ac:dyDescent="0.2">
      <c r="B1416"/>
      <c r="C1416"/>
      <c r="D1416"/>
      <c r="E1416"/>
      <c r="F1416"/>
      <c r="G1416"/>
      <c r="H1416"/>
      <c r="I1416"/>
      <c r="J1416"/>
      <c r="K1416"/>
      <c r="L1416"/>
      <c r="M1416"/>
      <c r="N1416"/>
      <c r="O1416"/>
    </row>
    <row r="1417" spans="2:15" x14ac:dyDescent="0.2">
      <c r="B14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</row>
    <row r="1418" spans="2:15" x14ac:dyDescent="0.2">
      <c r="B1418"/>
      <c r="C1418"/>
      <c r="D1418"/>
      <c r="E1418"/>
      <c r="F1418"/>
      <c r="G1418"/>
      <c r="H1418"/>
      <c r="I1418"/>
      <c r="J1418"/>
      <c r="K1418"/>
      <c r="L1418"/>
      <c r="M1418"/>
      <c r="N1418"/>
      <c r="O1418"/>
    </row>
    <row r="1419" spans="2:15" x14ac:dyDescent="0.2">
      <c r="B1419"/>
      <c r="C1419"/>
      <c r="D1419"/>
      <c r="E1419"/>
      <c r="F1419"/>
      <c r="G1419"/>
      <c r="H1419"/>
      <c r="I1419"/>
      <c r="J1419"/>
      <c r="K1419"/>
      <c r="L1419"/>
      <c r="M1419"/>
      <c r="N1419"/>
      <c r="O1419"/>
    </row>
    <row r="1420" spans="2:15" x14ac:dyDescent="0.2">
      <c r="B1420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</row>
    <row r="1421" spans="2:15" x14ac:dyDescent="0.2">
      <c r="B1421"/>
      <c r="C1421"/>
      <c r="D1421"/>
      <c r="E1421"/>
      <c r="F1421"/>
      <c r="G1421"/>
      <c r="H1421"/>
      <c r="I1421"/>
      <c r="J1421"/>
      <c r="K1421"/>
      <c r="L1421"/>
      <c r="M1421"/>
      <c r="N1421"/>
      <c r="O1421"/>
    </row>
    <row r="1422" spans="2:15" x14ac:dyDescent="0.2">
      <c r="B1422"/>
      <c r="C1422"/>
      <c r="D1422"/>
      <c r="E1422"/>
      <c r="F1422"/>
      <c r="G1422"/>
      <c r="H1422"/>
      <c r="I1422"/>
      <c r="J1422"/>
      <c r="K1422"/>
      <c r="L1422"/>
      <c r="M1422"/>
      <c r="N1422"/>
      <c r="O1422"/>
    </row>
    <row r="1423" spans="2:15" x14ac:dyDescent="0.2">
      <c r="B1423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</row>
    <row r="1424" spans="2:15" x14ac:dyDescent="0.2">
      <c r="B1424"/>
      <c r="C1424"/>
      <c r="D1424"/>
      <c r="E1424"/>
      <c r="F1424"/>
      <c r="G1424"/>
      <c r="H1424"/>
      <c r="I1424"/>
      <c r="J1424"/>
      <c r="K1424"/>
      <c r="L1424"/>
      <c r="M1424"/>
      <c r="N1424"/>
      <c r="O1424"/>
    </row>
    <row r="1425" spans="2:15" x14ac:dyDescent="0.2">
      <c r="B1425"/>
      <c r="C1425"/>
      <c r="D1425"/>
      <c r="E1425"/>
      <c r="F1425"/>
      <c r="G1425"/>
      <c r="H1425"/>
      <c r="I1425"/>
      <c r="J1425"/>
      <c r="K1425"/>
      <c r="L1425"/>
      <c r="M1425"/>
      <c r="N1425"/>
      <c r="O1425"/>
    </row>
    <row r="1426" spans="2:15" x14ac:dyDescent="0.2">
      <c r="B1426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</row>
    <row r="1427" spans="2:15" x14ac:dyDescent="0.2">
      <c r="B1427"/>
      <c r="C1427"/>
      <c r="D1427"/>
      <c r="E1427"/>
      <c r="F1427"/>
      <c r="G1427"/>
      <c r="H1427"/>
      <c r="I1427"/>
      <c r="J1427"/>
      <c r="K1427"/>
      <c r="L1427"/>
      <c r="M1427"/>
      <c r="N1427"/>
      <c r="O1427"/>
    </row>
    <row r="1428" spans="2:15" x14ac:dyDescent="0.2">
      <c r="B1428"/>
      <c r="C1428"/>
      <c r="D1428"/>
      <c r="E1428"/>
      <c r="F1428"/>
      <c r="G1428"/>
      <c r="H1428"/>
      <c r="I1428"/>
      <c r="J1428"/>
      <c r="K1428"/>
      <c r="L1428"/>
      <c r="M1428"/>
      <c r="N1428"/>
      <c r="O1428"/>
    </row>
    <row r="1429" spans="2:15" x14ac:dyDescent="0.2">
      <c r="B1429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</row>
    <row r="1430" spans="2:15" x14ac:dyDescent="0.2">
      <c r="B1430"/>
      <c r="C1430"/>
      <c r="D1430"/>
      <c r="E1430"/>
      <c r="F1430"/>
      <c r="G1430"/>
      <c r="H1430"/>
      <c r="I1430"/>
      <c r="J1430"/>
      <c r="K1430"/>
      <c r="L1430"/>
      <c r="M1430"/>
      <c r="N1430"/>
      <c r="O1430"/>
    </row>
    <row r="1431" spans="2:15" x14ac:dyDescent="0.2">
      <c r="B1431"/>
      <c r="C1431"/>
      <c r="D1431"/>
      <c r="E1431"/>
      <c r="F1431"/>
      <c r="G1431"/>
      <c r="H1431"/>
      <c r="I1431"/>
      <c r="J1431"/>
      <c r="K1431"/>
      <c r="L1431"/>
      <c r="M1431"/>
      <c r="N1431"/>
      <c r="O1431"/>
    </row>
    <row r="1432" spans="2:15" x14ac:dyDescent="0.2">
      <c r="B1432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</row>
    <row r="1433" spans="2:15" x14ac:dyDescent="0.2">
      <c r="B1433"/>
      <c r="C1433"/>
      <c r="D1433"/>
      <c r="E1433"/>
      <c r="F1433"/>
      <c r="G1433"/>
      <c r="H1433"/>
      <c r="I1433"/>
      <c r="J1433"/>
      <c r="K1433"/>
      <c r="L1433"/>
      <c r="M1433"/>
      <c r="N1433"/>
      <c r="O1433"/>
    </row>
    <row r="1434" spans="2:15" x14ac:dyDescent="0.2">
      <c r="B1434"/>
      <c r="C1434"/>
      <c r="D1434"/>
      <c r="E1434"/>
      <c r="F1434"/>
      <c r="G1434"/>
      <c r="H1434"/>
      <c r="I1434"/>
      <c r="J1434"/>
      <c r="K1434"/>
      <c r="L1434"/>
      <c r="M1434"/>
      <c r="N1434"/>
      <c r="O1434"/>
    </row>
    <row r="1435" spans="2:15" x14ac:dyDescent="0.2">
      <c r="B1435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</row>
    <row r="1436" spans="2:15" x14ac:dyDescent="0.2">
      <c r="B1436"/>
      <c r="C1436"/>
      <c r="D1436"/>
      <c r="E1436"/>
      <c r="F1436"/>
      <c r="G1436"/>
      <c r="H1436"/>
      <c r="I1436"/>
      <c r="J1436"/>
      <c r="K1436"/>
      <c r="L1436"/>
      <c r="M1436"/>
      <c r="N1436"/>
      <c r="O1436"/>
    </row>
    <row r="1437" spans="2:15" x14ac:dyDescent="0.2">
      <c r="B1437"/>
      <c r="C1437"/>
      <c r="D1437"/>
      <c r="E1437"/>
      <c r="F1437"/>
      <c r="G1437"/>
      <c r="H1437"/>
      <c r="I1437"/>
      <c r="J1437"/>
      <c r="K1437"/>
      <c r="L1437"/>
      <c r="M1437"/>
      <c r="N1437"/>
      <c r="O1437"/>
    </row>
    <row r="1438" spans="2:15" x14ac:dyDescent="0.2">
      <c r="B1438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</row>
    <row r="1439" spans="2:15" x14ac:dyDescent="0.2">
      <c r="B1439"/>
      <c r="C1439"/>
      <c r="D1439"/>
      <c r="E1439"/>
      <c r="F1439"/>
      <c r="G1439"/>
      <c r="H1439"/>
      <c r="I1439"/>
      <c r="J1439"/>
      <c r="K1439"/>
      <c r="L1439"/>
      <c r="M1439"/>
      <c r="N1439"/>
      <c r="O1439"/>
    </row>
    <row r="1440" spans="2:15" x14ac:dyDescent="0.2">
      <c r="B1440"/>
      <c r="C1440"/>
      <c r="D1440"/>
      <c r="E1440"/>
      <c r="F1440"/>
      <c r="G1440"/>
      <c r="H1440"/>
      <c r="I1440"/>
      <c r="J1440"/>
      <c r="K1440"/>
      <c r="L1440"/>
      <c r="M1440"/>
      <c r="N1440"/>
      <c r="O1440"/>
    </row>
    <row r="1441" spans="2:15" x14ac:dyDescent="0.2">
      <c r="B1441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</row>
    <row r="1442" spans="2:15" x14ac:dyDescent="0.2">
      <c r="B1442"/>
      <c r="C1442"/>
      <c r="D1442"/>
      <c r="E1442"/>
      <c r="F1442"/>
      <c r="G1442"/>
      <c r="H1442"/>
      <c r="I1442"/>
      <c r="J1442"/>
      <c r="K1442"/>
      <c r="L1442"/>
      <c r="M1442"/>
      <c r="N1442"/>
      <c r="O1442"/>
    </row>
    <row r="1443" spans="2:15" x14ac:dyDescent="0.2">
      <c r="B1443"/>
      <c r="C1443"/>
      <c r="D1443"/>
      <c r="E1443"/>
      <c r="F1443"/>
      <c r="G1443"/>
      <c r="H1443"/>
      <c r="I1443"/>
      <c r="J1443"/>
      <c r="K1443"/>
      <c r="L1443"/>
      <c r="M1443"/>
      <c r="N1443"/>
      <c r="O1443"/>
    </row>
    <row r="1444" spans="2:15" x14ac:dyDescent="0.2">
      <c r="B1444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</row>
    <row r="1445" spans="2:15" x14ac:dyDescent="0.2">
      <c r="B1445"/>
      <c r="C1445"/>
      <c r="D1445"/>
      <c r="E1445"/>
      <c r="F1445"/>
      <c r="G1445"/>
      <c r="H1445"/>
      <c r="I1445"/>
      <c r="J1445"/>
      <c r="K1445"/>
      <c r="L1445"/>
      <c r="M1445"/>
      <c r="N1445"/>
      <c r="O1445"/>
    </row>
    <row r="1446" spans="2:15" x14ac:dyDescent="0.2">
      <c r="B1446"/>
      <c r="C1446"/>
      <c r="D1446"/>
      <c r="E1446"/>
      <c r="F1446"/>
      <c r="G1446"/>
      <c r="H1446"/>
      <c r="I1446"/>
      <c r="J1446"/>
      <c r="K1446"/>
      <c r="L1446"/>
      <c r="M1446"/>
      <c r="N1446"/>
      <c r="O1446"/>
    </row>
    <row r="1447" spans="2:15" x14ac:dyDescent="0.2">
      <c r="B144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</row>
    <row r="1448" spans="2:15" x14ac:dyDescent="0.2">
      <c r="B1448"/>
      <c r="C1448"/>
      <c r="D1448"/>
      <c r="E1448"/>
      <c r="F1448"/>
      <c r="G1448"/>
      <c r="H1448"/>
      <c r="I1448"/>
      <c r="J1448"/>
      <c r="K1448"/>
      <c r="L1448"/>
      <c r="M1448"/>
      <c r="N1448"/>
      <c r="O1448"/>
    </row>
    <row r="1449" spans="2:15" x14ac:dyDescent="0.2">
      <c r="B1449"/>
      <c r="C1449"/>
      <c r="D1449"/>
      <c r="E1449"/>
      <c r="F1449"/>
      <c r="G1449"/>
      <c r="H1449"/>
      <c r="I1449"/>
      <c r="J1449"/>
      <c r="K1449"/>
      <c r="L1449"/>
      <c r="M1449"/>
      <c r="N1449"/>
      <c r="O1449"/>
    </row>
    <row r="1450" spans="2:15" x14ac:dyDescent="0.2">
      <c r="B1450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</row>
    <row r="1451" spans="2:15" x14ac:dyDescent="0.2">
      <c r="B1451"/>
      <c r="C1451"/>
      <c r="D1451"/>
      <c r="E1451"/>
      <c r="F1451"/>
      <c r="G1451"/>
      <c r="H1451"/>
      <c r="I1451"/>
      <c r="J1451"/>
      <c r="K1451"/>
      <c r="L1451"/>
      <c r="M1451"/>
      <c r="N1451"/>
      <c r="O1451"/>
    </row>
    <row r="1452" spans="2:15" x14ac:dyDescent="0.2">
      <c r="B1452"/>
      <c r="C1452"/>
      <c r="D1452"/>
      <c r="E1452"/>
      <c r="F1452"/>
      <c r="G1452"/>
      <c r="H1452"/>
      <c r="I1452"/>
      <c r="J1452"/>
      <c r="K1452"/>
      <c r="L1452"/>
      <c r="M1452"/>
      <c r="N1452"/>
      <c r="O1452"/>
    </row>
    <row r="1453" spans="2:15" x14ac:dyDescent="0.2">
      <c r="B1453"/>
      <c r="C1453"/>
      <c r="D1453"/>
      <c r="E1453"/>
      <c r="F1453"/>
      <c r="G1453"/>
      <c r="H1453"/>
      <c r="I1453"/>
      <c r="J1453"/>
      <c r="K1453"/>
      <c r="L1453"/>
      <c r="M1453"/>
      <c r="N1453"/>
      <c r="O1453"/>
    </row>
    <row r="1454" spans="2:15" x14ac:dyDescent="0.2">
      <c r="B1454"/>
      <c r="C1454"/>
      <c r="D1454"/>
      <c r="E1454"/>
      <c r="F1454"/>
      <c r="G1454"/>
      <c r="H1454"/>
      <c r="I1454"/>
      <c r="J1454"/>
      <c r="K1454"/>
      <c r="L1454"/>
      <c r="M1454"/>
      <c r="N1454"/>
      <c r="O1454"/>
    </row>
    <row r="1455" spans="2:15" x14ac:dyDescent="0.2">
      <c r="B1455"/>
      <c r="C1455"/>
      <c r="D1455"/>
      <c r="E1455"/>
      <c r="F1455"/>
      <c r="G1455"/>
      <c r="H1455"/>
      <c r="I1455"/>
      <c r="J1455"/>
      <c r="K1455"/>
      <c r="L1455"/>
      <c r="M1455"/>
      <c r="N1455"/>
      <c r="O1455"/>
    </row>
    <row r="1456" spans="2:15" x14ac:dyDescent="0.2">
      <c r="B1456"/>
      <c r="C1456"/>
      <c r="D1456"/>
      <c r="E1456"/>
      <c r="F1456"/>
      <c r="G1456"/>
      <c r="H1456"/>
      <c r="I1456"/>
      <c r="J1456"/>
      <c r="K1456"/>
      <c r="L1456"/>
      <c r="M1456"/>
      <c r="N1456"/>
      <c r="O1456"/>
    </row>
    <row r="1457" spans="2:15" x14ac:dyDescent="0.2">
      <c r="B1457"/>
      <c r="C1457"/>
      <c r="D1457"/>
      <c r="E1457"/>
      <c r="F1457"/>
      <c r="G1457"/>
      <c r="H1457"/>
      <c r="I1457"/>
      <c r="J1457"/>
      <c r="K1457"/>
      <c r="L1457"/>
      <c r="M1457"/>
      <c r="N1457"/>
      <c r="O1457"/>
    </row>
    <row r="1458" spans="2:15" x14ac:dyDescent="0.2">
      <c r="B1458"/>
      <c r="C1458"/>
      <c r="D1458"/>
      <c r="E1458"/>
      <c r="F1458"/>
      <c r="G1458"/>
      <c r="H1458"/>
      <c r="I1458"/>
      <c r="J1458"/>
      <c r="K1458"/>
      <c r="L1458"/>
      <c r="M1458"/>
      <c r="N1458"/>
      <c r="O1458"/>
    </row>
    <row r="1459" spans="2:15" x14ac:dyDescent="0.2">
      <c r="B1459"/>
      <c r="C1459"/>
      <c r="D1459"/>
      <c r="E1459"/>
      <c r="F1459"/>
      <c r="G1459"/>
      <c r="H1459"/>
      <c r="I1459"/>
      <c r="J1459"/>
      <c r="K1459"/>
      <c r="L1459"/>
      <c r="M1459"/>
      <c r="N1459"/>
      <c r="O1459"/>
    </row>
    <row r="1460" spans="2:15" x14ac:dyDescent="0.2">
      <c r="B1460"/>
      <c r="C1460"/>
      <c r="D1460"/>
      <c r="E1460"/>
      <c r="F1460"/>
      <c r="G1460"/>
      <c r="H1460"/>
      <c r="I1460"/>
      <c r="J1460"/>
      <c r="K1460"/>
      <c r="L1460"/>
      <c r="M1460"/>
      <c r="N1460"/>
      <c r="O1460"/>
    </row>
    <row r="1461" spans="2:15" x14ac:dyDescent="0.2">
      <c r="B1461"/>
      <c r="C1461"/>
      <c r="D1461"/>
      <c r="E1461"/>
      <c r="F1461"/>
      <c r="G1461"/>
      <c r="H1461"/>
      <c r="I1461"/>
      <c r="J1461"/>
      <c r="K1461"/>
      <c r="L1461"/>
      <c r="M1461"/>
      <c r="N1461"/>
      <c r="O1461"/>
    </row>
    <row r="1462" spans="2:15" x14ac:dyDescent="0.2">
      <c r="B1462"/>
      <c r="C1462"/>
      <c r="D1462"/>
      <c r="E1462"/>
      <c r="F1462"/>
      <c r="G1462"/>
      <c r="H1462"/>
      <c r="I1462"/>
      <c r="J1462"/>
      <c r="K1462"/>
      <c r="L1462"/>
      <c r="M1462"/>
      <c r="N1462"/>
      <c r="O1462"/>
    </row>
    <row r="1463" spans="2:15" x14ac:dyDescent="0.2">
      <c r="B1463"/>
      <c r="C1463"/>
      <c r="D1463"/>
      <c r="E1463"/>
      <c r="F1463"/>
      <c r="G1463"/>
      <c r="H1463"/>
      <c r="I1463"/>
      <c r="J1463"/>
      <c r="K1463"/>
      <c r="L1463"/>
      <c r="M1463"/>
      <c r="N1463"/>
      <c r="O1463"/>
    </row>
    <row r="1464" spans="2:15" x14ac:dyDescent="0.2">
      <c r="B1464"/>
      <c r="C1464"/>
      <c r="D1464"/>
      <c r="E1464"/>
      <c r="F1464"/>
      <c r="G1464"/>
      <c r="H1464"/>
      <c r="I1464"/>
      <c r="J1464"/>
      <c r="K1464"/>
      <c r="L1464"/>
      <c r="M1464"/>
      <c r="N1464"/>
      <c r="O1464"/>
    </row>
    <row r="1465" spans="2:15" x14ac:dyDescent="0.2">
      <c r="B1465"/>
      <c r="C1465"/>
      <c r="D1465"/>
      <c r="E1465"/>
      <c r="F1465"/>
      <c r="G1465"/>
      <c r="H1465"/>
      <c r="I1465"/>
      <c r="J1465"/>
      <c r="K1465"/>
      <c r="L1465"/>
      <c r="M1465"/>
      <c r="N1465"/>
      <c r="O1465"/>
    </row>
    <row r="1466" spans="2:15" x14ac:dyDescent="0.2">
      <c r="B1466"/>
      <c r="C1466"/>
      <c r="D1466"/>
      <c r="E1466"/>
      <c r="F1466"/>
      <c r="G1466"/>
      <c r="H1466"/>
      <c r="I1466"/>
      <c r="J1466"/>
      <c r="K1466"/>
      <c r="L1466"/>
      <c r="M1466"/>
      <c r="N1466"/>
      <c r="O1466"/>
    </row>
    <row r="1467" spans="2:15" x14ac:dyDescent="0.2">
      <c r="B1467"/>
      <c r="C1467"/>
      <c r="D1467"/>
      <c r="E1467"/>
      <c r="F1467"/>
      <c r="G1467"/>
      <c r="H1467"/>
      <c r="I1467"/>
      <c r="J1467"/>
      <c r="K1467"/>
      <c r="L1467"/>
      <c r="M1467"/>
      <c r="N1467"/>
      <c r="O1467"/>
    </row>
    <row r="1468" spans="2:15" x14ac:dyDescent="0.2">
      <c r="B1468"/>
      <c r="C1468"/>
      <c r="D1468"/>
      <c r="E1468"/>
      <c r="F1468"/>
      <c r="G1468"/>
      <c r="H1468"/>
      <c r="I1468"/>
      <c r="J1468"/>
      <c r="K1468"/>
      <c r="L1468"/>
      <c r="M1468"/>
      <c r="N1468"/>
      <c r="O1468"/>
    </row>
    <row r="1469" spans="2:15" x14ac:dyDescent="0.2">
      <c r="B1469"/>
      <c r="C1469"/>
      <c r="D1469"/>
      <c r="E1469"/>
      <c r="F1469"/>
      <c r="G1469"/>
      <c r="H1469"/>
      <c r="I1469"/>
      <c r="J1469"/>
      <c r="K1469"/>
      <c r="L1469"/>
      <c r="M1469"/>
      <c r="N1469"/>
      <c r="O1469"/>
    </row>
    <row r="1470" spans="2:15" x14ac:dyDescent="0.2">
      <c r="B1470"/>
      <c r="C1470"/>
      <c r="D1470"/>
      <c r="E1470"/>
      <c r="F1470"/>
      <c r="G1470"/>
      <c r="H1470"/>
      <c r="I1470"/>
      <c r="J1470"/>
      <c r="K1470"/>
      <c r="L1470"/>
      <c r="M1470"/>
      <c r="N1470"/>
      <c r="O1470"/>
    </row>
    <row r="1471" spans="2:15" x14ac:dyDescent="0.2">
      <c r="B1471"/>
      <c r="C1471"/>
      <c r="D1471"/>
      <c r="E1471"/>
      <c r="F1471"/>
      <c r="G1471"/>
      <c r="H1471"/>
      <c r="I1471"/>
      <c r="J1471"/>
      <c r="K1471"/>
      <c r="L1471"/>
      <c r="M1471"/>
      <c r="N1471"/>
      <c r="O1471"/>
    </row>
    <row r="1472" spans="2:15" x14ac:dyDescent="0.2">
      <c r="B1472"/>
      <c r="C1472"/>
      <c r="D1472"/>
      <c r="E1472"/>
      <c r="F1472"/>
      <c r="G1472"/>
      <c r="H1472"/>
      <c r="I1472"/>
      <c r="J1472"/>
      <c r="K1472"/>
      <c r="L1472"/>
      <c r="M1472"/>
      <c r="N1472"/>
      <c r="O1472"/>
    </row>
    <row r="1473" spans="2:15" x14ac:dyDescent="0.2">
      <c r="B1473"/>
      <c r="C1473"/>
      <c r="D1473"/>
      <c r="E1473"/>
      <c r="F1473"/>
      <c r="G1473"/>
      <c r="H1473"/>
      <c r="I1473"/>
      <c r="J1473"/>
      <c r="K1473"/>
      <c r="L1473"/>
      <c r="M1473"/>
      <c r="N1473"/>
      <c r="O1473"/>
    </row>
    <row r="1474" spans="2:15" x14ac:dyDescent="0.2">
      <c r="B1474"/>
      <c r="C1474"/>
      <c r="D1474"/>
      <c r="E1474"/>
      <c r="F1474"/>
      <c r="G1474"/>
      <c r="H1474"/>
      <c r="I1474"/>
      <c r="J1474"/>
      <c r="K1474"/>
      <c r="L1474"/>
      <c r="M1474"/>
      <c r="N1474"/>
      <c r="O1474"/>
    </row>
    <row r="1475" spans="2:15" x14ac:dyDescent="0.2">
      <c r="B1475"/>
      <c r="C1475"/>
      <c r="D1475"/>
      <c r="E1475"/>
      <c r="F1475"/>
      <c r="G1475"/>
      <c r="H1475"/>
      <c r="I1475"/>
      <c r="J1475"/>
      <c r="K1475"/>
      <c r="L1475"/>
      <c r="M1475"/>
      <c r="N1475"/>
      <c r="O1475"/>
    </row>
    <row r="1476" spans="2:15" x14ac:dyDescent="0.2">
      <c r="B1476"/>
      <c r="C1476"/>
      <c r="D1476"/>
      <c r="E1476"/>
      <c r="F1476"/>
      <c r="G1476"/>
      <c r="H1476"/>
      <c r="I1476"/>
      <c r="J1476"/>
      <c r="K1476"/>
      <c r="L1476"/>
      <c r="M1476"/>
      <c r="N1476"/>
      <c r="O1476"/>
    </row>
    <row r="1477" spans="2:15" x14ac:dyDescent="0.2">
      <c r="B1477"/>
      <c r="C1477"/>
      <c r="D1477"/>
      <c r="E1477"/>
      <c r="F1477"/>
      <c r="G1477"/>
      <c r="H1477"/>
      <c r="I1477"/>
      <c r="J1477"/>
      <c r="K1477"/>
      <c r="L1477"/>
      <c r="M1477"/>
      <c r="N1477"/>
      <c r="O1477"/>
    </row>
    <row r="1478" spans="2:15" x14ac:dyDescent="0.2">
      <c r="B1478"/>
      <c r="C1478"/>
      <c r="D1478"/>
      <c r="E1478"/>
      <c r="F1478"/>
      <c r="G1478"/>
      <c r="H1478"/>
      <c r="I1478"/>
      <c r="J1478"/>
      <c r="K1478"/>
      <c r="L1478"/>
      <c r="M1478"/>
      <c r="N1478"/>
      <c r="O1478"/>
    </row>
    <row r="1479" spans="2:15" x14ac:dyDescent="0.2">
      <c r="B1479"/>
      <c r="C1479"/>
      <c r="D1479"/>
      <c r="E1479"/>
      <c r="F1479"/>
      <c r="G1479"/>
      <c r="H1479"/>
      <c r="I1479"/>
      <c r="J1479"/>
      <c r="K1479"/>
      <c r="L1479"/>
      <c r="M1479"/>
      <c r="N1479"/>
      <c r="O1479"/>
    </row>
    <row r="1480" spans="2:15" x14ac:dyDescent="0.2">
      <c r="B1480"/>
      <c r="C1480"/>
      <c r="D1480"/>
      <c r="E1480"/>
      <c r="F1480"/>
      <c r="G1480"/>
      <c r="H1480"/>
      <c r="I1480"/>
      <c r="J1480"/>
      <c r="K1480"/>
      <c r="L1480"/>
      <c r="M1480"/>
      <c r="N1480"/>
      <c r="O1480"/>
    </row>
    <row r="1481" spans="2:15" x14ac:dyDescent="0.2">
      <c r="B1481"/>
      <c r="C1481"/>
      <c r="D1481"/>
      <c r="E1481"/>
      <c r="F1481"/>
      <c r="G1481"/>
      <c r="H1481"/>
      <c r="I1481"/>
      <c r="J1481"/>
      <c r="K1481"/>
      <c r="L1481"/>
      <c r="M1481"/>
      <c r="N1481"/>
      <c r="O1481"/>
    </row>
    <row r="1482" spans="2:15" x14ac:dyDescent="0.2">
      <c r="B1482"/>
      <c r="C1482"/>
      <c r="D1482"/>
      <c r="E1482"/>
      <c r="F1482"/>
      <c r="G1482"/>
      <c r="H1482"/>
      <c r="I1482"/>
      <c r="J1482"/>
      <c r="K1482"/>
      <c r="L1482"/>
      <c r="M1482"/>
      <c r="N1482"/>
      <c r="O1482"/>
    </row>
    <row r="1483" spans="2:15" x14ac:dyDescent="0.2">
      <c r="B1483"/>
      <c r="C1483"/>
      <c r="D1483"/>
      <c r="E1483"/>
      <c r="F1483"/>
      <c r="G1483"/>
      <c r="H1483"/>
      <c r="I1483"/>
      <c r="J1483"/>
      <c r="K1483"/>
      <c r="L1483"/>
      <c r="M1483"/>
      <c r="N1483"/>
      <c r="O1483"/>
    </row>
    <row r="1484" spans="2:15" x14ac:dyDescent="0.2">
      <c r="B1484"/>
      <c r="C1484"/>
      <c r="D1484"/>
      <c r="E1484"/>
      <c r="F1484"/>
      <c r="G1484"/>
      <c r="H1484"/>
      <c r="I1484"/>
      <c r="J1484"/>
      <c r="K1484"/>
      <c r="L1484"/>
      <c r="M1484"/>
      <c r="N1484"/>
      <c r="O1484"/>
    </row>
    <row r="1485" spans="2:15" x14ac:dyDescent="0.2">
      <c r="B1485"/>
      <c r="C1485"/>
      <c r="D1485"/>
      <c r="E1485"/>
      <c r="F1485"/>
      <c r="G1485"/>
      <c r="H1485"/>
      <c r="I1485"/>
      <c r="J1485"/>
      <c r="K1485"/>
      <c r="L1485"/>
      <c r="M1485"/>
      <c r="N1485"/>
      <c r="O1485"/>
    </row>
    <row r="1486" spans="2:15" x14ac:dyDescent="0.2">
      <c r="B1486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</row>
    <row r="1487" spans="2:15" x14ac:dyDescent="0.2">
      <c r="B1487"/>
      <c r="C1487"/>
      <c r="D1487"/>
      <c r="E1487"/>
      <c r="F1487"/>
      <c r="G1487"/>
      <c r="H1487"/>
      <c r="I1487"/>
      <c r="J1487"/>
      <c r="K1487"/>
      <c r="L1487"/>
      <c r="M1487"/>
      <c r="N1487"/>
      <c r="O1487"/>
    </row>
    <row r="1488" spans="2:15" x14ac:dyDescent="0.2">
      <c r="B1488"/>
      <c r="C1488"/>
      <c r="D1488"/>
      <c r="E1488"/>
      <c r="F1488"/>
      <c r="G1488"/>
      <c r="H1488"/>
      <c r="I1488"/>
      <c r="J1488"/>
      <c r="K1488"/>
      <c r="L1488"/>
      <c r="M1488"/>
      <c r="N1488"/>
      <c r="O1488"/>
    </row>
    <row r="1489" spans="2:15" x14ac:dyDescent="0.2">
      <c r="B1489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</row>
    <row r="1490" spans="2:15" x14ac:dyDescent="0.2">
      <c r="B1490"/>
      <c r="C1490"/>
      <c r="D1490"/>
      <c r="E1490"/>
      <c r="F1490"/>
      <c r="G1490"/>
      <c r="H1490"/>
      <c r="I1490"/>
      <c r="J1490"/>
      <c r="K1490"/>
      <c r="L1490"/>
      <c r="M1490"/>
      <c r="N1490"/>
      <c r="O1490"/>
    </row>
    <row r="1491" spans="2:15" x14ac:dyDescent="0.2">
      <c r="B1491"/>
      <c r="C1491"/>
      <c r="D1491"/>
      <c r="E1491"/>
      <c r="F1491"/>
      <c r="G1491"/>
      <c r="H1491"/>
      <c r="I1491"/>
      <c r="J1491"/>
      <c r="K1491"/>
      <c r="L1491"/>
      <c r="M1491"/>
      <c r="N1491"/>
      <c r="O1491"/>
    </row>
    <row r="1492" spans="2:15" x14ac:dyDescent="0.2">
      <c r="B1492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</row>
    <row r="1493" spans="2:15" x14ac:dyDescent="0.2">
      <c r="B1493"/>
      <c r="C1493"/>
      <c r="D1493"/>
      <c r="E1493"/>
      <c r="F1493"/>
      <c r="G1493"/>
      <c r="H1493"/>
      <c r="I1493"/>
      <c r="J1493"/>
      <c r="K1493"/>
      <c r="L1493"/>
      <c r="M1493"/>
      <c r="N1493"/>
      <c r="O1493"/>
    </row>
    <row r="1494" spans="2:15" x14ac:dyDescent="0.2">
      <c r="B1494"/>
      <c r="C1494"/>
      <c r="D1494"/>
      <c r="E1494"/>
      <c r="F1494"/>
      <c r="G1494"/>
      <c r="H1494"/>
      <c r="I1494"/>
      <c r="J1494"/>
      <c r="K1494"/>
      <c r="L1494"/>
      <c r="M1494"/>
      <c r="N1494"/>
      <c r="O1494"/>
    </row>
    <row r="1495" spans="2:15" x14ac:dyDescent="0.2">
      <c r="B1495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</row>
    <row r="1496" spans="2:15" x14ac:dyDescent="0.2">
      <c r="B1496"/>
      <c r="C1496"/>
      <c r="D1496"/>
      <c r="E1496"/>
      <c r="F1496"/>
      <c r="G1496"/>
      <c r="H1496"/>
      <c r="I1496"/>
      <c r="J1496"/>
      <c r="K1496"/>
      <c r="L1496"/>
      <c r="M1496"/>
      <c r="N1496"/>
      <c r="O1496"/>
    </row>
    <row r="1497" spans="2:15" x14ac:dyDescent="0.2">
      <c r="B1497"/>
      <c r="C1497"/>
      <c r="D1497"/>
      <c r="E1497"/>
      <c r="F1497"/>
      <c r="G1497"/>
      <c r="H1497"/>
      <c r="I1497"/>
      <c r="J1497"/>
      <c r="K1497"/>
      <c r="L1497"/>
      <c r="M1497"/>
      <c r="N1497"/>
      <c r="O1497"/>
    </row>
    <row r="1498" spans="2:15" x14ac:dyDescent="0.2">
      <c r="B1498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</row>
    <row r="1499" spans="2:15" x14ac:dyDescent="0.2">
      <c r="B1499"/>
      <c r="C1499"/>
      <c r="D1499"/>
      <c r="E1499"/>
      <c r="F1499"/>
      <c r="G1499"/>
      <c r="H1499"/>
      <c r="I1499"/>
      <c r="J1499"/>
      <c r="K1499"/>
      <c r="L1499"/>
      <c r="M1499"/>
      <c r="N1499"/>
      <c r="O1499"/>
    </row>
    <row r="1500" spans="2:15" x14ac:dyDescent="0.2">
      <c r="B1500"/>
      <c r="C1500"/>
      <c r="D1500"/>
      <c r="E1500"/>
      <c r="F1500"/>
      <c r="G1500"/>
      <c r="H1500"/>
      <c r="I1500"/>
      <c r="J1500"/>
      <c r="K1500"/>
      <c r="L1500"/>
      <c r="M1500"/>
      <c r="N1500"/>
      <c r="O1500"/>
    </row>
    <row r="1501" spans="2:15" x14ac:dyDescent="0.2">
      <c r="B1501"/>
      <c r="C1501"/>
      <c r="D1501"/>
      <c r="E1501"/>
      <c r="F1501"/>
      <c r="G1501"/>
      <c r="H1501"/>
      <c r="I1501"/>
      <c r="J1501"/>
      <c r="K1501"/>
      <c r="L1501"/>
      <c r="M1501"/>
      <c r="N1501"/>
      <c r="O1501"/>
    </row>
    <row r="1502" spans="2:15" x14ac:dyDescent="0.2">
      <c r="B1502"/>
      <c r="C1502"/>
      <c r="D1502"/>
      <c r="E1502"/>
      <c r="F1502"/>
      <c r="G1502"/>
      <c r="H1502"/>
      <c r="I1502"/>
      <c r="J1502"/>
      <c r="K1502"/>
      <c r="L1502"/>
      <c r="M1502"/>
      <c r="N1502"/>
      <c r="O1502"/>
    </row>
    <row r="1503" spans="2:15" x14ac:dyDescent="0.2">
      <c r="B1503"/>
      <c r="C1503"/>
      <c r="D1503"/>
      <c r="E1503"/>
      <c r="F1503"/>
      <c r="G1503"/>
      <c r="H1503"/>
      <c r="I1503"/>
      <c r="J1503"/>
      <c r="K1503"/>
      <c r="L1503"/>
      <c r="M1503"/>
      <c r="N1503"/>
      <c r="O1503"/>
    </row>
    <row r="1504" spans="2:15" x14ac:dyDescent="0.2">
      <c r="B1504"/>
      <c r="C1504"/>
      <c r="D1504"/>
      <c r="E1504"/>
      <c r="F1504"/>
      <c r="G1504"/>
      <c r="H1504"/>
      <c r="I1504"/>
      <c r="J1504"/>
      <c r="K1504"/>
      <c r="L1504"/>
      <c r="M1504"/>
      <c r="N1504"/>
      <c r="O1504"/>
    </row>
    <row r="1505" spans="2:15" x14ac:dyDescent="0.2">
      <c r="B1505"/>
      <c r="C1505"/>
      <c r="D1505"/>
      <c r="E1505"/>
      <c r="F1505"/>
      <c r="G1505"/>
      <c r="H1505"/>
      <c r="I1505"/>
      <c r="J1505"/>
      <c r="K1505"/>
      <c r="L1505"/>
      <c r="M1505"/>
      <c r="N1505"/>
      <c r="O1505"/>
    </row>
    <row r="1506" spans="2:15" x14ac:dyDescent="0.2">
      <c r="B1506"/>
      <c r="C1506"/>
      <c r="D1506"/>
      <c r="E1506"/>
      <c r="F1506"/>
      <c r="G1506"/>
      <c r="H1506"/>
      <c r="I1506"/>
      <c r="J1506"/>
      <c r="K1506"/>
      <c r="L1506"/>
      <c r="M1506"/>
      <c r="N1506"/>
      <c r="O1506"/>
    </row>
    <row r="1507" spans="2:15" x14ac:dyDescent="0.2">
      <c r="B1507"/>
      <c r="C1507"/>
      <c r="D1507"/>
      <c r="E1507"/>
      <c r="F1507"/>
      <c r="G1507"/>
      <c r="H1507"/>
      <c r="I1507"/>
      <c r="J1507"/>
      <c r="K1507"/>
      <c r="L1507"/>
      <c r="M1507"/>
      <c r="N1507"/>
      <c r="O1507"/>
    </row>
    <row r="1508" spans="2:15" x14ac:dyDescent="0.2">
      <c r="B1508"/>
      <c r="C1508"/>
      <c r="D1508"/>
      <c r="E1508"/>
      <c r="F1508"/>
      <c r="G1508"/>
      <c r="H1508"/>
      <c r="I1508"/>
      <c r="J1508"/>
      <c r="K1508"/>
      <c r="L1508"/>
      <c r="M1508"/>
      <c r="N1508"/>
      <c r="O1508"/>
    </row>
    <row r="1509" spans="2:15" x14ac:dyDescent="0.2">
      <c r="B1509"/>
      <c r="C1509"/>
      <c r="D1509"/>
      <c r="E1509"/>
      <c r="F1509"/>
      <c r="G1509"/>
      <c r="H1509"/>
      <c r="I1509"/>
      <c r="J1509"/>
      <c r="K1509"/>
      <c r="L1509"/>
      <c r="M1509"/>
      <c r="N1509"/>
      <c r="O1509"/>
    </row>
    <row r="1510" spans="2:15" x14ac:dyDescent="0.2">
      <c r="B1510"/>
      <c r="C1510"/>
      <c r="D1510"/>
      <c r="E1510"/>
      <c r="F1510"/>
      <c r="G1510"/>
      <c r="H1510"/>
      <c r="I1510"/>
      <c r="J1510"/>
      <c r="K1510"/>
      <c r="L1510"/>
      <c r="M1510"/>
      <c r="N1510"/>
      <c r="O1510"/>
    </row>
    <row r="1511" spans="2:15" x14ac:dyDescent="0.2">
      <c r="B1511"/>
      <c r="C1511"/>
      <c r="D1511"/>
      <c r="E1511"/>
      <c r="F1511"/>
      <c r="G1511"/>
      <c r="H1511"/>
      <c r="I1511"/>
      <c r="J1511"/>
      <c r="K1511"/>
      <c r="L1511"/>
      <c r="M1511"/>
      <c r="N1511"/>
      <c r="O1511"/>
    </row>
    <row r="1512" spans="2:15" x14ac:dyDescent="0.2">
      <c r="B1512"/>
      <c r="C1512"/>
      <c r="D1512"/>
      <c r="E1512"/>
      <c r="F1512"/>
      <c r="G1512"/>
      <c r="H1512"/>
      <c r="I1512"/>
      <c r="J1512"/>
      <c r="K1512"/>
      <c r="L1512"/>
      <c r="M1512"/>
      <c r="N1512"/>
      <c r="O1512"/>
    </row>
    <row r="1513" spans="2:15" x14ac:dyDescent="0.2">
      <c r="B1513"/>
      <c r="C1513"/>
      <c r="D1513"/>
      <c r="E1513"/>
      <c r="F1513"/>
      <c r="G1513"/>
      <c r="H1513"/>
      <c r="I1513"/>
      <c r="J1513"/>
      <c r="K1513"/>
      <c r="L1513"/>
      <c r="M1513"/>
      <c r="N1513"/>
      <c r="O1513"/>
    </row>
    <row r="1514" spans="2:15" x14ac:dyDescent="0.2">
      <c r="B1514"/>
      <c r="C1514"/>
      <c r="D1514"/>
      <c r="E1514"/>
      <c r="F1514"/>
      <c r="G1514"/>
      <c r="H1514"/>
      <c r="I1514"/>
      <c r="J1514"/>
      <c r="K1514"/>
      <c r="L1514"/>
      <c r="M1514"/>
      <c r="N1514"/>
      <c r="O1514"/>
    </row>
    <row r="1515" spans="2:15" x14ac:dyDescent="0.2">
      <c r="B1515"/>
      <c r="C1515"/>
      <c r="D1515"/>
      <c r="E1515"/>
      <c r="F1515"/>
      <c r="G1515"/>
      <c r="H1515"/>
      <c r="I1515"/>
      <c r="J1515"/>
      <c r="K1515"/>
      <c r="L1515"/>
      <c r="M1515"/>
      <c r="N1515"/>
      <c r="O1515"/>
    </row>
    <row r="1516" spans="2:15" x14ac:dyDescent="0.2">
      <c r="B1516"/>
      <c r="C1516"/>
      <c r="D1516"/>
      <c r="E1516"/>
      <c r="F1516"/>
      <c r="G1516"/>
      <c r="H1516"/>
      <c r="I1516"/>
      <c r="J1516"/>
      <c r="K1516"/>
      <c r="L1516"/>
      <c r="M1516"/>
      <c r="N1516"/>
      <c r="O1516"/>
    </row>
    <row r="1517" spans="2:15" x14ac:dyDescent="0.2">
      <c r="B1517"/>
      <c r="C1517"/>
      <c r="D1517"/>
      <c r="E1517"/>
      <c r="F1517"/>
      <c r="G1517"/>
      <c r="H1517"/>
      <c r="I1517"/>
      <c r="J1517"/>
      <c r="K1517"/>
      <c r="L1517"/>
      <c r="M1517"/>
      <c r="N1517"/>
      <c r="O1517"/>
    </row>
    <row r="1518" spans="2:15" x14ac:dyDescent="0.2">
      <c r="B1518"/>
      <c r="C1518"/>
      <c r="D1518"/>
      <c r="E1518"/>
      <c r="F1518"/>
      <c r="G1518"/>
      <c r="H1518"/>
      <c r="I1518"/>
      <c r="J1518"/>
      <c r="K1518"/>
      <c r="L1518"/>
      <c r="M1518"/>
      <c r="N1518"/>
      <c r="O1518"/>
    </row>
    <row r="1519" spans="2:15" x14ac:dyDescent="0.2">
      <c r="B1519"/>
      <c r="C1519"/>
      <c r="D1519"/>
      <c r="E1519"/>
      <c r="F1519"/>
      <c r="G1519"/>
      <c r="H1519"/>
      <c r="I1519"/>
      <c r="J1519"/>
      <c r="K1519"/>
      <c r="L1519"/>
      <c r="M1519"/>
      <c r="N1519"/>
      <c r="O1519"/>
    </row>
    <row r="1520" spans="2:15" x14ac:dyDescent="0.2">
      <c r="B1520"/>
      <c r="C1520"/>
      <c r="D1520"/>
      <c r="E1520"/>
      <c r="F1520"/>
      <c r="G1520"/>
      <c r="H1520"/>
      <c r="I1520"/>
      <c r="J1520"/>
      <c r="K1520"/>
      <c r="L1520"/>
      <c r="M1520"/>
      <c r="N1520"/>
      <c r="O1520"/>
    </row>
    <row r="1521" spans="2:15" x14ac:dyDescent="0.2">
      <c r="B1521"/>
      <c r="C1521"/>
      <c r="D1521"/>
      <c r="E1521"/>
      <c r="F1521"/>
      <c r="G1521"/>
      <c r="H1521"/>
      <c r="I1521"/>
      <c r="J1521"/>
      <c r="K1521"/>
      <c r="L1521"/>
      <c r="M1521"/>
      <c r="N1521"/>
      <c r="O1521"/>
    </row>
    <row r="1522" spans="2:15" x14ac:dyDescent="0.2">
      <c r="B1522"/>
      <c r="C1522"/>
      <c r="D1522"/>
      <c r="E1522"/>
      <c r="F1522"/>
      <c r="G1522"/>
      <c r="H1522"/>
      <c r="I1522"/>
      <c r="J1522"/>
      <c r="K1522"/>
      <c r="L1522"/>
      <c r="M1522"/>
      <c r="N1522"/>
      <c r="O1522"/>
    </row>
    <row r="1523" spans="2:15" x14ac:dyDescent="0.2">
      <c r="B1523"/>
      <c r="C1523"/>
      <c r="D1523"/>
      <c r="E1523"/>
      <c r="F1523"/>
      <c r="G1523"/>
      <c r="H1523"/>
      <c r="I1523"/>
      <c r="J1523"/>
      <c r="K1523"/>
      <c r="L1523"/>
      <c r="M1523"/>
      <c r="N1523"/>
      <c r="O1523"/>
    </row>
    <row r="1524" spans="2:15" x14ac:dyDescent="0.2">
      <c r="B1524"/>
      <c r="C1524"/>
      <c r="D1524"/>
      <c r="E1524"/>
      <c r="F1524"/>
      <c r="G1524"/>
      <c r="H1524"/>
      <c r="I1524"/>
      <c r="J1524"/>
      <c r="K1524"/>
      <c r="L1524"/>
      <c r="M1524"/>
      <c r="N1524"/>
      <c r="O1524"/>
    </row>
    <row r="1525" spans="2:15" x14ac:dyDescent="0.2">
      <c r="B1525"/>
      <c r="C1525"/>
      <c r="D1525"/>
      <c r="E1525"/>
      <c r="F1525"/>
      <c r="G1525"/>
      <c r="H1525"/>
      <c r="I1525"/>
      <c r="J1525"/>
      <c r="K1525"/>
      <c r="L1525"/>
      <c r="M1525"/>
      <c r="N1525"/>
      <c r="O1525"/>
    </row>
    <row r="1526" spans="2:15" x14ac:dyDescent="0.2">
      <c r="B1526"/>
      <c r="C1526"/>
      <c r="D1526"/>
      <c r="E1526"/>
      <c r="F1526"/>
      <c r="G1526"/>
      <c r="H1526"/>
      <c r="I1526"/>
      <c r="J1526"/>
      <c r="K1526"/>
      <c r="L1526"/>
      <c r="M1526"/>
      <c r="N1526"/>
      <c r="O1526"/>
    </row>
    <row r="1527" spans="2:15" x14ac:dyDescent="0.2">
      <c r="B1527"/>
      <c r="C1527"/>
      <c r="D1527"/>
      <c r="E1527"/>
      <c r="F1527"/>
      <c r="G1527"/>
      <c r="H1527"/>
      <c r="I1527"/>
      <c r="J1527"/>
      <c r="K1527"/>
      <c r="L1527"/>
      <c r="M1527"/>
      <c r="N1527"/>
      <c r="O1527"/>
    </row>
    <row r="1528" spans="2:15" x14ac:dyDescent="0.2">
      <c r="B1528"/>
      <c r="C1528"/>
      <c r="D1528"/>
      <c r="E1528"/>
      <c r="F1528"/>
      <c r="G1528"/>
      <c r="H1528"/>
      <c r="I1528"/>
      <c r="J1528"/>
      <c r="K1528"/>
      <c r="L1528"/>
      <c r="M1528"/>
      <c r="N1528"/>
      <c r="O1528"/>
    </row>
    <row r="1529" spans="2:15" x14ac:dyDescent="0.2">
      <c r="B1529"/>
      <c r="C1529"/>
      <c r="D1529"/>
      <c r="E1529"/>
      <c r="F1529"/>
      <c r="G1529"/>
      <c r="H1529"/>
      <c r="I1529"/>
      <c r="J1529"/>
      <c r="K1529"/>
      <c r="L1529"/>
      <c r="M1529"/>
      <c r="N1529"/>
      <c r="O1529"/>
    </row>
    <row r="1530" spans="2:15" x14ac:dyDescent="0.2">
      <c r="B1530"/>
      <c r="C1530"/>
      <c r="D1530"/>
      <c r="E1530"/>
      <c r="F1530"/>
      <c r="G1530"/>
      <c r="H1530"/>
      <c r="I1530"/>
      <c r="J1530"/>
      <c r="K1530"/>
      <c r="L1530"/>
      <c r="M1530"/>
      <c r="N1530"/>
      <c r="O1530"/>
    </row>
    <row r="1531" spans="2:15" x14ac:dyDescent="0.2">
      <c r="B1531"/>
      <c r="C1531"/>
      <c r="D1531"/>
      <c r="E1531"/>
      <c r="F1531"/>
      <c r="G1531"/>
      <c r="H1531"/>
      <c r="I1531"/>
      <c r="J1531"/>
      <c r="K1531"/>
      <c r="L1531"/>
      <c r="M1531"/>
      <c r="N1531"/>
      <c r="O1531"/>
    </row>
    <row r="1532" spans="2:15" x14ac:dyDescent="0.2">
      <c r="B1532"/>
      <c r="C1532"/>
      <c r="D1532"/>
      <c r="E1532"/>
      <c r="F1532"/>
      <c r="G1532"/>
      <c r="H1532"/>
      <c r="I1532"/>
      <c r="J1532"/>
      <c r="K1532"/>
      <c r="L1532"/>
      <c r="M1532"/>
      <c r="N1532"/>
      <c r="O1532"/>
    </row>
    <row r="1533" spans="2:15" x14ac:dyDescent="0.2">
      <c r="B1533"/>
      <c r="C1533"/>
      <c r="D1533"/>
      <c r="E1533"/>
      <c r="F1533"/>
      <c r="G1533"/>
      <c r="H1533"/>
      <c r="I1533"/>
      <c r="J1533"/>
      <c r="K1533"/>
      <c r="L1533"/>
      <c r="M1533"/>
      <c r="N1533"/>
      <c r="O1533"/>
    </row>
    <row r="1534" spans="2:15" x14ac:dyDescent="0.2">
      <c r="B1534"/>
      <c r="C1534"/>
      <c r="D1534"/>
      <c r="E1534"/>
      <c r="F1534"/>
      <c r="G1534"/>
      <c r="H1534"/>
      <c r="I1534"/>
      <c r="J1534"/>
      <c r="K1534"/>
      <c r="L1534"/>
      <c r="M1534"/>
      <c r="N1534"/>
      <c r="O1534"/>
    </row>
    <row r="1535" spans="2:15" x14ac:dyDescent="0.2">
      <c r="B1535"/>
      <c r="C1535"/>
      <c r="D1535"/>
      <c r="E1535"/>
      <c r="F1535"/>
      <c r="G1535"/>
      <c r="H1535"/>
      <c r="I1535"/>
      <c r="J1535"/>
      <c r="K1535"/>
      <c r="L1535"/>
      <c r="M1535"/>
      <c r="N1535"/>
      <c r="O1535"/>
    </row>
    <row r="1536" spans="2:15" x14ac:dyDescent="0.2">
      <c r="B1536"/>
      <c r="C1536"/>
      <c r="D1536"/>
      <c r="E1536"/>
      <c r="F1536"/>
      <c r="G1536"/>
      <c r="H1536"/>
      <c r="I1536"/>
      <c r="J1536"/>
      <c r="K1536"/>
      <c r="L1536"/>
      <c r="M1536"/>
      <c r="N1536"/>
      <c r="O1536"/>
    </row>
    <row r="1537" spans="2:15" x14ac:dyDescent="0.2">
      <c r="B1537"/>
      <c r="C1537"/>
      <c r="D1537"/>
      <c r="E1537"/>
      <c r="F1537"/>
      <c r="G1537"/>
      <c r="H1537"/>
      <c r="I1537"/>
      <c r="J1537"/>
      <c r="K1537"/>
      <c r="L1537"/>
      <c r="M1537"/>
      <c r="N1537"/>
      <c r="O1537"/>
    </row>
    <row r="1538" spans="2:15" x14ac:dyDescent="0.2">
      <c r="B1538"/>
      <c r="C1538"/>
      <c r="D1538"/>
      <c r="E1538"/>
      <c r="F1538"/>
      <c r="G1538"/>
      <c r="H1538"/>
      <c r="I1538"/>
      <c r="J1538"/>
      <c r="K1538"/>
      <c r="L1538"/>
      <c r="M1538"/>
      <c r="N1538"/>
      <c r="O1538"/>
    </row>
    <row r="1539" spans="2:15" x14ac:dyDescent="0.2">
      <c r="B1539"/>
      <c r="C1539"/>
      <c r="D1539"/>
      <c r="E1539"/>
      <c r="F1539"/>
      <c r="G1539"/>
      <c r="H1539"/>
      <c r="I1539"/>
      <c r="J1539"/>
      <c r="K1539"/>
      <c r="L1539"/>
      <c r="M1539"/>
      <c r="N1539"/>
      <c r="O1539"/>
    </row>
    <row r="1540" spans="2:15" x14ac:dyDescent="0.2">
      <c r="B1540"/>
      <c r="C1540"/>
      <c r="D1540"/>
      <c r="E1540"/>
      <c r="F1540"/>
      <c r="G1540"/>
      <c r="H1540"/>
      <c r="I1540"/>
      <c r="J1540"/>
      <c r="K1540"/>
      <c r="L1540"/>
      <c r="M1540"/>
      <c r="N1540"/>
      <c r="O1540"/>
    </row>
    <row r="1541" spans="2:15" x14ac:dyDescent="0.2">
      <c r="B1541"/>
      <c r="C1541"/>
      <c r="D1541"/>
      <c r="E1541"/>
      <c r="F1541"/>
      <c r="G1541"/>
      <c r="H1541"/>
      <c r="I1541"/>
      <c r="J1541"/>
      <c r="K1541"/>
      <c r="L1541"/>
      <c r="M1541"/>
      <c r="N1541"/>
      <c r="O1541"/>
    </row>
    <row r="1542" spans="2:15" x14ac:dyDescent="0.2">
      <c r="B1542"/>
      <c r="C1542"/>
      <c r="D1542"/>
      <c r="E1542"/>
      <c r="F1542"/>
      <c r="G1542"/>
      <c r="H1542"/>
      <c r="I1542"/>
      <c r="J1542"/>
      <c r="K1542"/>
      <c r="L1542"/>
      <c r="M1542"/>
      <c r="N1542"/>
      <c r="O1542"/>
    </row>
    <row r="1543" spans="2:15" x14ac:dyDescent="0.2">
      <c r="B1543"/>
      <c r="C1543"/>
      <c r="D1543"/>
      <c r="E1543"/>
      <c r="F1543"/>
      <c r="G1543"/>
      <c r="H1543"/>
      <c r="I1543"/>
      <c r="J1543"/>
      <c r="K1543"/>
      <c r="L1543"/>
      <c r="M1543"/>
      <c r="N1543"/>
      <c r="O1543"/>
    </row>
    <row r="1544" spans="2:15" x14ac:dyDescent="0.2">
      <c r="B1544"/>
      <c r="C1544"/>
      <c r="D1544"/>
      <c r="E1544"/>
      <c r="F1544"/>
      <c r="G1544"/>
      <c r="H1544"/>
      <c r="I1544"/>
      <c r="J1544"/>
      <c r="K1544"/>
      <c r="L1544"/>
      <c r="M1544"/>
      <c r="N1544"/>
      <c r="O1544"/>
    </row>
    <row r="1545" spans="2:15" x14ac:dyDescent="0.2">
      <c r="B1545"/>
      <c r="C1545"/>
      <c r="D1545"/>
      <c r="E1545"/>
      <c r="F1545"/>
      <c r="G1545"/>
      <c r="H1545"/>
      <c r="I1545"/>
      <c r="J1545"/>
      <c r="K1545"/>
      <c r="L1545"/>
      <c r="M1545"/>
      <c r="N1545"/>
      <c r="O1545"/>
    </row>
    <row r="1546" spans="2:15" x14ac:dyDescent="0.2">
      <c r="B1546"/>
      <c r="C1546"/>
      <c r="D1546"/>
      <c r="E1546"/>
      <c r="F1546"/>
      <c r="G1546"/>
      <c r="H1546"/>
      <c r="I1546"/>
      <c r="J1546"/>
      <c r="K1546"/>
      <c r="L1546"/>
      <c r="M1546"/>
      <c r="N1546"/>
      <c r="O1546"/>
    </row>
    <row r="1547" spans="2:15" x14ac:dyDescent="0.2">
      <c r="B1547"/>
      <c r="C1547"/>
      <c r="D1547"/>
      <c r="E1547"/>
      <c r="F1547"/>
      <c r="G1547"/>
      <c r="H1547"/>
      <c r="I1547"/>
      <c r="J1547"/>
      <c r="K1547"/>
      <c r="L1547"/>
      <c r="M1547"/>
      <c r="N1547"/>
      <c r="O1547"/>
    </row>
    <row r="1548" spans="2:15" x14ac:dyDescent="0.2">
      <c r="B1548"/>
      <c r="C1548"/>
      <c r="D1548"/>
      <c r="E1548"/>
      <c r="F1548"/>
      <c r="G1548"/>
      <c r="H1548"/>
      <c r="I1548"/>
      <c r="J1548"/>
      <c r="K1548"/>
      <c r="L1548"/>
      <c r="M1548"/>
      <c r="N1548"/>
      <c r="O1548"/>
    </row>
    <row r="1549" spans="2:15" x14ac:dyDescent="0.2">
      <c r="B1549"/>
      <c r="C1549"/>
      <c r="D1549"/>
      <c r="E1549"/>
      <c r="F1549"/>
      <c r="G1549"/>
      <c r="H1549"/>
      <c r="I1549"/>
      <c r="J1549"/>
      <c r="K1549"/>
      <c r="L1549"/>
      <c r="M1549"/>
      <c r="N1549"/>
      <c r="O1549"/>
    </row>
    <row r="1550" spans="2:15" x14ac:dyDescent="0.2">
      <c r="B1550"/>
      <c r="C1550"/>
      <c r="D1550"/>
      <c r="E1550"/>
      <c r="F1550"/>
      <c r="G1550"/>
      <c r="H1550"/>
      <c r="I1550"/>
      <c r="J1550"/>
      <c r="K1550"/>
      <c r="L1550"/>
      <c r="M1550"/>
      <c r="N1550"/>
      <c r="O1550"/>
    </row>
    <row r="1551" spans="2:15" x14ac:dyDescent="0.2">
      <c r="B1551"/>
      <c r="C1551"/>
      <c r="D1551"/>
      <c r="E1551"/>
      <c r="F1551"/>
      <c r="G1551"/>
      <c r="H1551"/>
      <c r="I1551"/>
      <c r="J1551"/>
      <c r="K1551"/>
      <c r="L1551"/>
      <c r="M1551"/>
      <c r="N1551"/>
      <c r="O1551"/>
    </row>
    <row r="1552" spans="2:15" x14ac:dyDescent="0.2">
      <c r="B1552"/>
      <c r="C1552"/>
      <c r="D1552"/>
      <c r="E1552"/>
      <c r="F1552"/>
      <c r="G1552"/>
      <c r="H1552"/>
      <c r="I1552"/>
      <c r="J1552"/>
      <c r="K1552"/>
      <c r="L1552"/>
      <c r="M1552"/>
      <c r="N1552"/>
      <c r="O1552"/>
    </row>
    <row r="1553" spans="2:15" x14ac:dyDescent="0.2">
      <c r="B1553"/>
      <c r="C1553"/>
      <c r="D1553"/>
      <c r="E1553"/>
      <c r="F1553"/>
      <c r="G1553"/>
      <c r="H1553"/>
      <c r="I1553"/>
      <c r="J1553"/>
      <c r="K1553"/>
      <c r="L1553"/>
      <c r="M1553"/>
      <c r="N1553"/>
      <c r="O1553"/>
    </row>
    <row r="1554" spans="2:15" x14ac:dyDescent="0.2">
      <c r="B1554"/>
      <c r="C1554"/>
      <c r="D1554"/>
      <c r="E1554"/>
      <c r="F1554"/>
      <c r="G1554"/>
      <c r="H1554"/>
      <c r="I1554"/>
      <c r="J1554"/>
      <c r="K1554"/>
      <c r="L1554"/>
      <c r="M1554"/>
      <c r="N1554"/>
      <c r="O1554"/>
    </row>
    <row r="1555" spans="2:15" x14ac:dyDescent="0.2">
      <c r="B1555"/>
      <c r="C1555"/>
      <c r="D1555"/>
      <c r="E1555"/>
      <c r="F1555"/>
      <c r="G1555"/>
      <c r="H1555"/>
      <c r="I1555"/>
      <c r="J1555"/>
      <c r="K1555"/>
      <c r="L1555"/>
      <c r="M1555"/>
      <c r="N1555"/>
      <c r="O1555"/>
    </row>
    <row r="1556" spans="2:15" x14ac:dyDescent="0.2">
      <c r="B1556"/>
      <c r="C1556"/>
      <c r="D1556"/>
      <c r="E1556"/>
      <c r="F1556"/>
      <c r="G1556"/>
      <c r="H1556"/>
      <c r="I1556"/>
      <c r="J1556"/>
      <c r="K1556"/>
      <c r="L1556"/>
      <c r="M1556"/>
      <c r="N1556"/>
      <c r="O1556"/>
    </row>
    <row r="1557" spans="2:15" x14ac:dyDescent="0.2">
      <c r="B1557"/>
      <c r="C1557"/>
      <c r="D1557"/>
      <c r="E1557"/>
      <c r="F1557"/>
      <c r="G1557"/>
      <c r="H1557"/>
      <c r="I1557"/>
      <c r="J1557"/>
      <c r="K1557"/>
      <c r="L1557"/>
      <c r="M1557"/>
      <c r="N1557"/>
      <c r="O1557"/>
    </row>
    <row r="1558" spans="2:15" x14ac:dyDescent="0.2">
      <c r="B1558"/>
      <c r="C1558"/>
      <c r="D1558"/>
      <c r="E1558"/>
      <c r="F1558"/>
      <c r="G1558"/>
      <c r="H1558"/>
      <c r="I1558"/>
      <c r="J1558"/>
      <c r="K1558"/>
      <c r="L1558"/>
      <c r="M1558"/>
      <c r="N1558"/>
      <c r="O1558"/>
    </row>
    <row r="1559" spans="2:15" x14ac:dyDescent="0.2">
      <c r="B1559"/>
      <c r="C1559"/>
      <c r="D1559"/>
      <c r="E1559"/>
      <c r="F1559"/>
      <c r="G1559"/>
      <c r="H1559"/>
      <c r="I1559"/>
      <c r="J1559"/>
      <c r="K1559"/>
      <c r="L1559"/>
      <c r="M1559"/>
      <c r="N1559"/>
      <c r="O1559"/>
    </row>
    <row r="1560" spans="2:15" x14ac:dyDescent="0.2">
      <c r="B1560"/>
      <c r="C1560"/>
      <c r="D1560"/>
      <c r="E1560"/>
      <c r="F1560"/>
      <c r="G1560"/>
      <c r="H1560"/>
      <c r="I1560"/>
      <c r="J1560"/>
      <c r="K1560"/>
      <c r="L1560"/>
      <c r="M1560"/>
      <c r="N1560"/>
      <c r="O1560"/>
    </row>
    <row r="1561" spans="2:15" x14ac:dyDescent="0.2">
      <c r="B1561"/>
      <c r="C1561"/>
      <c r="D1561"/>
      <c r="E1561"/>
      <c r="F1561"/>
      <c r="G1561"/>
      <c r="H1561"/>
      <c r="I1561"/>
      <c r="J1561"/>
      <c r="K1561"/>
      <c r="L1561"/>
      <c r="M1561"/>
      <c r="N1561"/>
      <c r="O1561"/>
    </row>
    <row r="1562" spans="2:15" x14ac:dyDescent="0.2">
      <c r="B1562"/>
      <c r="C1562"/>
      <c r="D1562"/>
      <c r="E1562"/>
      <c r="F1562"/>
      <c r="G1562"/>
      <c r="H1562"/>
      <c r="I1562"/>
      <c r="J1562"/>
      <c r="K1562"/>
      <c r="L1562"/>
      <c r="M1562"/>
      <c r="N1562"/>
      <c r="O1562"/>
    </row>
    <row r="1563" spans="2:15" x14ac:dyDescent="0.2">
      <c r="B1563"/>
      <c r="C1563"/>
      <c r="D1563"/>
      <c r="E1563"/>
      <c r="F1563"/>
      <c r="G1563"/>
      <c r="H1563"/>
      <c r="I1563"/>
      <c r="J1563"/>
      <c r="K1563"/>
      <c r="L1563"/>
      <c r="M1563"/>
      <c r="N1563"/>
      <c r="O1563"/>
    </row>
    <row r="1564" spans="2:15" x14ac:dyDescent="0.2">
      <c r="B1564"/>
      <c r="C1564"/>
      <c r="D1564"/>
      <c r="E1564"/>
      <c r="F1564"/>
      <c r="G1564"/>
      <c r="H1564"/>
      <c r="I1564"/>
      <c r="J1564"/>
      <c r="K1564"/>
      <c r="L1564"/>
      <c r="M1564"/>
      <c r="N1564"/>
      <c r="O1564"/>
    </row>
    <row r="1565" spans="2:15" x14ac:dyDescent="0.2">
      <c r="B1565"/>
      <c r="C1565"/>
      <c r="D1565"/>
      <c r="E1565"/>
      <c r="F1565"/>
      <c r="G1565"/>
      <c r="H1565"/>
      <c r="I1565"/>
      <c r="J1565"/>
      <c r="K1565"/>
      <c r="L1565"/>
      <c r="M1565"/>
      <c r="N1565"/>
      <c r="O1565"/>
    </row>
    <row r="1566" spans="2:15" x14ac:dyDescent="0.2">
      <c r="B1566"/>
      <c r="C1566"/>
      <c r="D1566"/>
      <c r="E1566"/>
      <c r="F1566"/>
      <c r="G1566"/>
      <c r="H1566"/>
      <c r="I1566"/>
      <c r="J1566"/>
      <c r="K1566"/>
      <c r="L1566"/>
      <c r="M1566"/>
      <c r="N1566"/>
      <c r="O1566"/>
    </row>
    <row r="1567" spans="2:15" x14ac:dyDescent="0.2">
      <c r="B1567"/>
      <c r="C1567"/>
      <c r="D1567"/>
      <c r="E1567"/>
      <c r="F1567"/>
      <c r="G1567"/>
      <c r="H1567"/>
      <c r="I1567"/>
      <c r="J1567"/>
      <c r="K1567"/>
      <c r="L1567"/>
      <c r="M1567"/>
      <c r="N1567"/>
      <c r="O1567"/>
    </row>
    <row r="1568" spans="2:15" x14ac:dyDescent="0.2">
      <c r="B1568"/>
      <c r="C1568"/>
      <c r="D1568"/>
      <c r="E1568"/>
      <c r="F1568"/>
      <c r="G1568"/>
      <c r="H1568"/>
      <c r="I1568"/>
      <c r="J1568"/>
      <c r="K1568"/>
      <c r="L1568"/>
      <c r="M1568"/>
      <c r="N1568"/>
      <c r="O1568"/>
    </row>
    <row r="1569" spans="2:15" x14ac:dyDescent="0.2">
      <c r="B1569"/>
      <c r="C1569"/>
      <c r="D1569"/>
      <c r="E1569"/>
      <c r="F1569"/>
      <c r="G1569"/>
      <c r="H1569"/>
      <c r="I1569"/>
      <c r="J1569"/>
      <c r="K1569"/>
      <c r="L1569"/>
      <c r="M1569"/>
      <c r="N1569"/>
      <c r="O1569"/>
    </row>
    <row r="1570" spans="2:15" x14ac:dyDescent="0.2">
      <c r="B1570"/>
      <c r="C1570"/>
      <c r="D1570"/>
      <c r="E1570"/>
      <c r="F1570"/>
      <c r="G1570"/>
      <c r="H1570"/>
      <c r="I1570"/>
      <c r="J1570"/>
      <c r="K1570"/>
      <c r="L1570"/>
      <c r="M1570"/>
      <c r="N1570"/>
      <c r="O1570"/>
    </row>
    <row r="1571" spans="2:15" x14ac:dyDescent="0.2">
      <c r="B1571"/>
      <c r="C1571"/>
      <c r="D1571"/>
      <c r="E1571"/>
      <c r="F1571"/>
      <c r="G1571"/>
      <c r="H1571"/>
      <c r="I1571"/>
      <c r="J1571"/>
      <c r="K1571"/>
      <c r="L1571"/>
      <c r="M1571"/>
      <c r="N1571"/>
      <c r="O1571"/>
    </row>
    <row r="1572" spans="2:15" x14ac:dyDescent="0.2">
      <c r="B1572"/>
      <c r="C1572"/>
      <c r="D1572"/>
      <c r="E1572"/>
      <c r="F1572"/>
      <c r="G1572"/>
      <c r="H1572"/>
      <c r="I1572"/>
      <c r="J1572"/>
      <c r="K1572"/>
      <c r="L1572"/>
      <c r="M1572"/>
      <c r="N1572"/>
      <c r="O1572"/>
    </row>
    <row r="1573" spans="2:15" x14ac:dyDescent="0.2">
      <c r="B1573"/>
      <c r="C1573"/>
      <c r="D1573"/>
      <c r="E1573"/>
      <c r="F1573"/>
      <c r="G1573"/>
      <c r="H1573"/>
      <c r="I1573"/>
      <c r="J1573"/>
      <c r="K1573"/>
      <c r="L1573"/>
      <c r="M1573"/>
      <c r="N1573"/>
      <c r="O1573"/>
    </row>
    <row r="1574" spans="2:15" x14ac:dyDescent="0.2">
      <c r="B1574"/>
      <c r="C1574"/>
      <c r="D1574"/>
      <c r="E1574"/>
      <c r="F1574"/>
      <c r="G1574"/>
      <c r="H1574"/>
      <c r="I1574"/>
      <c r="J1574"/>
      <c r="K1574"/>
      <c r="L1574"/>
      <c r="M1574"/>
      <c r="N1574"/>
      <c r="O1574"/>
    </row>
    <row r="1575" spans="2:15" x14ac:dyDescent="0.2">
      <c r="B1575"/>
      <c r="C1575"/>
      <c r="D1575"/>
      <c r="E1575"/>
      <c r="F1575"/>
      <c r="G1575"/>
      <c r="H1575"/>
      <c r="I1575"/>
      <c r="J1575"/>
      <c r="K1575"/>
      <c r="L1575"/>
      <c r="M1575"/>
      <c r="N1575"/>
      <c r="O1575"/>
    </row>
    <row r="1576" spans="2:15" x14ac:dyDescent="0.2">
      <c r="B1576"/>
      <c r="C1576"/>
      <c r="D1576"/>
      <c r="E1576"/>
      <c r="F1576"/>
      <c r="G1576"/>
      <c r="H1576"/>
      <c r="I1576"/>
      <c r="J1576"/>
      <c r="K1576"/>
      <c r="L1576"/>
      <c r="M1576"/>
      <c r="N1576"/>
      <c r="O1576"/>
    </row>
    <row r="1577" spans="2:15" x14ac:dyDescent="0.2">
      <c r="B1577"/>
      <c r="C1577"/>
      <c r="D1577"/>
      <c r="E1577"/>
      <c r="F1577"/>
      <c r="G1577"/>
      <c r="H1577"/>
      <c r="I1577"/>
      <c r="J1577"/>
      <c r="K1577"/>
      <c r="L1577"/>
      <c r="M1577"/>
      <c r="N1577"/>
      <c r="O1577"/>
    </row>
    <row r="1578" spans="2:15" x14ac:dyDescent="0.2">
      <c r="B1578"/>
      <c r="C1578"/>
      <c r="D1578"/>
      <c r="E1578"/>
      <c r="F1578"/>
      <c r="G1578"/>
      <c r="H1578"/>
      <c r="I1578"/>
      <c r="J1578"/>
      <c r="K1578"/>
      <c r="L1578"/>
      <c r="M1578"/>
      <c r="N1578"/>
      <c r="O1578"/>
    </row>
    <row r="1579" spans="2:15" x14ac:dyDescent="0.2">
      <c r="B1579"/>
      <c r="C1579"/>
      <c r="D1579"/>
      <c r="E1579"/>
      <c r="F1579"/>
      <c r="G1579"/>
      <c r="H1579"/>
      <c r="I1579"/>
      <c r="J1579"/>
      <c r="K1579"/>
      <c r="L1579"/>
      <c r="M1579"/>
      <c r="N1579"/>
      <c r="O1579"/>
    </row>
    <row r="1580" spans="2:15" x14ac:dyDescent="0.2">
      <c r="B1580"/>
      <c r="C1580"/>
      <c r="D1580"/>
      <c r="E1580"/>
      <c r="F1580"/>
      <c r="G1580"/>
      <c r="H1580"/>
      <c r="I1580"/>
      <c r="J1580"/>
      <c r="K1580"/>
      <c r="L1580"/>
      <c r="M1580"/>
      <c r="N1580"/>
      <c r="O1580"/>
    </row>
    <row r="1581" spans="2:15" x14ac:dyDescent="0.2">
      <c r="B1581"/>
      <c r="C1581"/>
      <c r="D1581"/>
      <c r="E1581"/>
      <c r="F1581"/>
      <c r="G1581"/>
      <c r="H1581"/>
      <c r="I1581"/>
      <c r="J1581"/>
      <c r="K1581"/>
      <c r="L1581"/>
      <c r="M1581"/>
      <c r="N1581"/>
      <c r="O1581"/>
    </row>
    <row r="1582" spans="2:15" x14ac:dyDescent="0.2">
      <c r="B1582"/>
      <c r="C1582"/>
      <c r="D1582"/>
      <c r="E1582"/>
      <c r="F1582"/>
      <c r="G1582"/>
      <c r="H1582"/>
      <c r="I1582"/>
      <c r="J1582"/>
      <c r="K1582"/>
      <c r="L1582"/>
      <c r="M1582"/>
      <c r="N1582"/>
      <c r="O1582"/>
    </row>
    <row r="1583" spans="2:15" x14ac:dyDescent="0.2">
      <c r="B1583"/>
      <c r="C1583"/>
      <c r="D1583"/>
      <c r="E1583"/>
      <c r="F1583"/>
      <c r="G1583"/>
      <c r="H1583"/>
      <c r="I1583"/>
      <c r="J1583"/>
      <c r="K1583"/>
      <c r="L1583"/>
      <c r="M1583"/>
      <c r="N1583"/>
      <c r="O1583"/>
    </row>
    <row r="1584" spans="2:15" x14ac:dyDescent="0.2">
      <c r="B1584"/>
      <c r="C1584"/>
      <c r="D1584"/>
      <c r="E1584"/>
      <c r="F1584"/>
      <c r="G1584"/>
      <c r="H1584"/>
      <c r="I1584"/>
      <c r="J1584"/>
      <c r="K1584"/>
      <c r="L1584"/>
      <c r="M1584"/>
      <c r="N1584"/>
      <c r="O1584"/>
    </row>
  </sheetData>
  <pageMargins left="0.6" right="0.6" top="1" bottom="1" header="0.5" footer="0.5"/>
  <pageSetup orientation="landscape" r:id="rId2"/>
  <headerFooter>
    <oddHeader>&amp;RDraft - Work in Progress</oddHeader>
    <oddFooter>&amp;L&amp;F
&amp;D, &amp;T&amp;C
Page &amp;P of &amp;N&amp;R&amp;A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9331C-442B-4852-985B-B7615B35CB35}">
  <sheetPr codeName="Sheet9">
    <pageSetUpPr fitToPage="1"/>
  </sheetPr>
  <dimension ref="B1:XFD1058"/>
  <sheetViews>
    <sheetView showGridLines="0" zoomScaleNormal="100" workbookViewId="0">
      <selection activeCell="E8" sqref="E8"/>
    </sheetView>
  </sheetViews>
  <sheetFormatPr baseColWidth="10" defaultColWidth="8.83203125" defaultRowHeight="15" x14ac:dyDescent="0.2"/>
  <cols>
    <col min="1" max="1" width="1.83203125" style="18" customWidth="1"/>
    <col min="2" max="2" width="12.6640625" style="18" bestFit="1" customWidth="1"/>
    <col min="3" max="3" width="14.33203125" style="18" bestFit="1" customWidth="1"/>
    <col min="4" max="5" width="8.5" style="18" bestFit="1" customWidth="1"/>
    <col min="6" max="8" width="9.5" style="18" bestFit="1" customWidth="1"/>
    <col min="9" max="14" width="8.5" style="18" bestFit="1" customWidth="1"/>
    <col min="15" max="15" width="10.1640625" style="18" bestFit="1" customWidth="1"/>
    <col min="16" max="16" width="12.83203125" style="18" bestFit="1" customWidth="1"/>
    <col min="17" max="17" width="11.5" style="18" bestFit="1" customWidth="1"/>
    <col min="18" max="18" width="13.1640625" style="18" bestFit="1" customWidth="1"/>
    <col min="19" max="19" width="10.83203125" style="18" bestFit="1" customWidth="1"/>
    <col min="20" max="20" width="9.5" style="18" bestFit="1" customWidth="1"/>
    <col min="21" max="21" width="14" style="18" bestFit="1" customWidth="1"/>
    <col min="22" max="22" width="11.5" style="18" bestFit="1" customWidth="1"/>
    <col min="23" max="23" width="13.1640625" style="18" bestFit="1" customWidth="1"/>
    <col min="24" max="24" width="9.5" style="18" bestFit="1" customWidth="1"/>
    <col min="25" max="25" width="14" style="18" bestFit="1" customWidth="1"/>
    <col min="26" max="26" width="11.5" style="18" bestFit="1" customWidth="1"/>
    <col min="27" max="27" width="13.1640625" style="18" bestFit="1" customWidth="1"/>
    <col min="28" max="28" width="10.83203125" style="18" bestFit="1" customWidth="1"/>
    <col min="29" max="29" width="9.5" style="18" bestFit="1" customWidth="1"/>
    <col min="30" max="30" width="14" style="18" bestFit="1" customWidth="1"/>
    <col min="31" max="31" width="10.5" style="18" bestFit="1" customWidth="1"/>
    <col min="32" max="32" width="13.1640625" style="18" bestFit="1" customWidth="1"/>
    <col min="33" max="33" width="10.83203125" style="18" bestFit="1" customWidth="1"/>
    <col min="34" max="34" width="9.5" style="18" bestFit="1" customWidth="1"/>
    <col min="35" max="35" width="12.83203125" style="18" bestFit="1" customWidth="1"/>
    <col min="36" max="36" width="10.5" style="18" bestFit="1" customWidth="1"/>
    <col min="37" max="37" width="13.1640625" style="18" bestFit="1" customWidth="1"/>
    <col min="38" max="38" width="10.83203125" style="18" bestFit="1" customWidth="1"/>
    <col min="39" max="39" width="9.5" style="18" bestFit="1" customWidth="1"/>
    <col min="40" max="40" width="12.83203125" style="18" bestFit="1" customWidth="1"/>
    <col min="41" max="41" width="10.5" style="18" bestFit="1" customWidth="1"/>
    <col min="42" max="42" width="13.1640625" style="18" bestFit="1" customWidth="1"/>
    <col min="43" max="43" width="10.83203125" style="18" bestFit="1" customWidth="1"/>
    <col min="44" max="44" width="9.5" style="18" bestFit="1" customWidth="1"/>
    <col min="45" max="45" width="12.83203125" style="18" bestFit="1" customWidth="1"/>
    <col min="46" max="46" width="10.5" style="18" bestFit="1" customWidth="1"/>
    <col min="47" max="47" width="13.1640625" style="18" bestFit="1" customWidth="1"/>
    <col min="48" max="48" width="9.5" style="18" bestFit="1" customWidth="1"/>
    <col min="49" max="49" width="12.83203125" style="18" bestFit="1" customWidth="1"/>
    <col min="50" max="50" width="10.5" style="18" bestFit="1" customWidth="1"/>
    <col min="51" max="51" width="13.1640625" style="18" bestFit="1" customWidth="1"/>
    <col min="52" max="52" width="10.83203125" style="18" bestFit="1" customWidth="1"/>
    <col min="53" max="53" width="9.5" style="18" bestFit="1" customWidth="1"/>
    <col min="54" max="54" width="12.83203125" style="18" bestFit="1" customWidth="1"/>
    <col min="55" max="55" width="10.5" style="18" bestFit="1" customWidth="1"/>
    <col min="56" max="56" width="13.1640625" style="18" bestFit="1" customWidth="1"/>
    <col min="57" max="57" width="10.83203125" style="18" bestFit="1" customWidth="1"/>
    <col min="58" max="58" width="9.5" style="18" bestFit="1" customWidth="1"/>
    <col min="59" max="59" width="12.83203125" style="18" bestFit="1" customWidth="1"/>
    <col min="60" max="60" width="10.1640625" style="18" bestFit="1" customWidth="1"/>
    <col min="61" max="91" width="29.6640625" style="18" bestFit="1" customWidth="1"/>
    <col min="92" max="92" width="34.1640625" style="18" bestFit="1" customWidth="1"/>
    <col min="93" max="93" width="17.1640625" style="18" bestFit="1" customWidth="1"/>
    <col min="94" max="16384" width="8.83203125" style="18"/>
  </cols>
  <sheetData>
    <row r="1" spans="2:93" x14ac:dyDescent="0.2">
      <c r="B1" s="8" t="s">
        <v>544</v>
      </c>
    </row>
    <row r="2" spans="2:93" x14ac:dyDescent="0.2">
      <c r="B2"/>
      <c r="C2"/>
    </row>
    <row r="4" spans="2:93" x14ac:dyDescent="0.2">
      <c r="B4" s="19" t="s">
        <v>573</v>
      </c>
      <c r="C4" s="19" t="s">
        <v>551</v>
      </c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</row>
    <row r="5" spans="2:93" x14ac:dyDescent="0.2">
      <c r="B5" s="19" t="s">
        <v>549</v>
      </c>
      <c r="C5" s="22">
        <v>43282</v>
      </c>
      <c r="D5" s="22">
        <v>43313</v>
      </c>
      <c r="E5" s="22">
        <v>43344</v>
      </c>
      <c r="F5" s="22">
        <v>43374</v>
      </c>
      <c r="G5" s="22">
        <v>43405</v>
      </c>
      <c r="H5" s="22">
        <v>43435</v>
      </c>
      <c r="I5" s="22">
        <v>43466</v>
      </c>
      <c r="J5" s="22">
        <v>43497</v>
      </c>
      <c r="K5" s="22">
        <v>43525</v>
      </c>
      <c r="L5" s="22">
        <v>43556</v>
      </c>
      <c r="M5" s="22">
        <v>43586</v>
      </c>
      <c r="N5" s="22">
        <v>43617</v>
      </c>
      <c r="O5" s="67" t="s">
        <v>550</v>
      </c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</row>
    <row r="6" spans="2:93" x14ac:dyDescent="0.2">
      <c r="B6" s="20" t="s">
        <v>510</v>
      </c>
      <c r="C6" s="4">
        <v>7</v>
      </c>
      <c r="D6" s="4">
        <v>8</v>
      </c>
      <c r="E6" s="4">
        <v>11</v>
      </c>
      <c r="F6" s="4">
        <v>6</v>
      </c>
      <c r="G6" s="4">
        <v>6</v>
      </c>
      <c r="H6" s="4">
        <v>2</v>
      </c>
      <c r="I6" s="4">
        <v>5</v>
      </c>
      <c r="J6" s="4">
        <v>2</v>
      </c>
      <c r="K6" s="4">
        <v>8</v>
      </c>
      <c r="L6" s="4">
        <v>2</v>
      </c>
      <c r="M6" s="4">
        <v>4</v>
      </c>
      <c r="N6" s="4">
        <v>5</v>
      </c>
      <c r="O6" s="4">
        <v>66</v>
      </c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</row>
    <row r="7" spans="2:93" x14ac:dyDescent="0.2">
      <c r="B7" s="20" t="s">
        <v>511</v>
      </c>
      <c r="C7" s="4">
        <v>1</v>
      </c>
      <c r="D7" s="4">
        <v>4</v>
      </c>
      <c r="E7" s="4">
        <v>2</v>
      </c>
      <c r="F7" s="4">
        <v>3</v>
      </c>
      <c r="G7" s="4">
        <v>2</v>
      </c>
      <c r="H7" s="4">
        <v>1</v>
      </c>
      <c r="I7" s="4">
        <v>3</v>
      </c>
      <c r="J7" s="4">
        <v>1</v>
      </c>
      <c r="K7" s="4">
        <v>6</v>
      </c>
      <c r="L7" s="4">
        <v>8</v>
      </c>
      <c r="M7" s="4">
        <v>6</v>
      </c>
      <c r="N7" s="4">
        <v>1</v>
      </c>
      <c r="O7" s="4">
        <v>38</v>
      </c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</row>
    <row r="8" spans="2:93" x14ac:dyDescent="0.2">
      <c r="B8" s="20" t="s">
        <v>512</v>
      </c>
      <c r="C8" s="4">
        <v>2</v>
      </c>
      <c r="D8" s="4">
        <v>4</v>
      </c>
      <c r="E8" s="4">
        <v>4</v>
      </c>
      <c r="F8" s="4">
        <v>6</v>
      </c>
      <c r="G8" s="4">
        <v>3</v>
      </c>
      <c r="H8" s="4">
        <v>4</v>
      </c>
      <c r="I8" s="4">
        <v>4</v>
      </c>
      <c r="J8" s="4">
        <v>2</v>
      </c>
      <c r="K8" s="4">
        <v>6</v>
      </c>
      <c r="L8" s="4">
        <v>5</v>
      </c>
      <c r="M8" s="4">
        <v>6</v>
      </c>
      <c r="N8" s="4">
        <v>8</v>
      </c>
      <c r="O8" s="4">
        <v>54</v>
      </c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</row>
    <row r="9" spans="2:93" x14ac:dyDescent="0.2">
      <c r="B9" s="20" t="s">
        <v>513</v>
      </c>
      <c r="C9" s="4">
        <v>2</v>
      </c>
      <c r="D9" s="4">
        <v>2</v>
      </c>
      <c r="E9" s="4">
        <v>2</v>
      </c>
      <c r="F9" s="4">
        <v>1</v>
      </c>
      <c r="G9" s="4">
        <v>1</v>
      </c>
      <c r="H9" s="4">
        <v>1</v>
      </c>
      <c r="I9" s="4">
        <v>2</v>
      </c>
      <c r="J9" s="4">
        <v>7</v>
      </c>
      <c r="K9" s="4">
        <v>5</v>
      </c>
      <c r="L9" s="4">
        <v>8</v>
      </c>
      <c r="M9" s="4">
        <v>2</v>
      </c>
      <c r="N9" s="4">
        <v>2</v>
      </c>
      <c r="O9" s="4">
        <v>35</v>
      </c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</row>
    <row r="10" spans="2:93" x14ac:dyDescent="0.2">
      <c r="B10" s="20" t="s">
        <v>514</v>
      </c>
      <c r="C10" s="4">
        <v>1</v>
      </c>
      <c r="D10" s="4">
        <v>1</v>
      </c>
      <c r="E10" s="4">
        <v>2</v>
      </c>
      <c r="F10" s="4">
        <v>1</v>
      </c>
      <c r="G10" s="4">
        <v>1</v>
      </c>
      <c r="H10" s="4">
        <v>1</v>
      </c>
      <c r="I10" s="4">
        <v>2</v>
      </c>
      <c r="J10" s="4">
        <v>1</v>
      </c>
      <c r="K10" s="4">
        <v>3</v>
      </c>
      <c r="L10" s="4">
        <v>2</v>
      </c>
      <c r="M10" s="4">
        <v>2</v>
      </c>
      <c r="N10" s="4">
        <v>5</v>
      </c>
      <c r="O10" s="4">
        <v>22</v>
      </c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</row>
    <row r="11" spans="2:93" x14ac:dyDescent="0.2">
      <c r="B11" s="20" t="s">
        <v>515</v>
      </c>
      <c r="C11" s="4">
        <v>3</v>
      </c>
      <c r="D11" s="4">
        <v>5</v>
      </c>
      <c r="E11" s="4">
        <v>1</v>
      </c>
      <c r="F11" s="4">
        <v>4</v>
      </c>
      <c r="G11" s="4">
        <v>4</v>
      </c>
      <c r="H11" s="4">
        <v>5</v>
      </c>
      <c r="I11" s="4">
        <v>4</v>
      </c>
      <c r="J11" s="4">
        <v>4</v>
      </c>
      <c r="K11" s="4">
        <v>5</v>
      </c>
      <c r="L11" s="4">
        <v>4</v>
      </c>
      <c r="M11" s="4">
        <v>8</v>
      </c>
      <c r="N11" s="4">
        <v>3</v>
      </c>
      <c r="O11" s="4">
        <v>50</v>
      </c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</row>
    <row r="12" spans="2:93" x14ac:dyDescent="0.2">
      <c r="B12" s="20" t="s">
        <v>516</v>
      </c>
      <c r="C12" s="4">
        <v>6</v>
      </c>
      <c r="D12" s="4">
        <v>7</v>
      </c>
      <c r="E12" s="4">
        <v>4</v>
      </c>
      <c r="F12" s="4">
        <v>4</v>
      </c>
      <c r="G12" s="4">
        <v>5</v>
      </c>
      <c r="H12" s="4">
        <v>9</v>
      </c>
      <c r="I12" s="4">
        <v>2</v>
      </c>
      <c r="J12" s="4">
        <v>1</v>
      </c>
      <c r="K12" s="4">
        <v>2</v>
      </c>
      <c r="L12" s="4">
        <v>6</v>
      </c>
      <c r="M12" s="4">
        <v>2</v>
      </c>
      <c r="N12" s="4">
        <v>6</v>
      </c>
      <c r="O12" s="4">
        <v>54</v>
      </c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</row>
    <row r="13" spans="2:93" x14ac:dyDescent="0.2">
      <c r="B13" s="20" t="s">
        <v>517</v>
      </c>
      <c r="C13" s="4">
        <v>5</v>
      </c>
      <c r="D13" s="4">
        <v>3</v>
      </c>
      <c r="E13" s="4">
        <v>5</v>
      </c>
      <c r="F13" s="4">
        <v>7</v>
      </c>
      <c r="G13" s="4">
        <v>1</v>
      </c>
      <c r="H13" s="4">
        <v>5</v>
      </c>
      <c r="I13" s="4">
        <v>6</v>
      </c>
      <c r="J13" s="4">
        <v>2</v>
      </c>
      <c r="K13" s="4">
        <v>6</v>
      </c>
      <c r="L13" s="4">
        <v>2</v>
      </c>
      <c r="M13" s="4">
        <v>2</v>
      </c>
      <c r="N13" s="4">
        <v>1</v>
      </c>
      <c r="O13" s="4">
        <v>45</v>
      </c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</row>
    <row r="14" spans="2:93" x14ac:dyDescent="0.2">
      <c r="B14" s="20" t="s">
        <v>518</v>
      </c>
      <c r="C14" s="4">
        <v>6</v>
      </c>
      <c r="D14" s="4">
        <v>3</v>
      </c>
      <c r="E14" s="4">
        <v>7</v>
      </c>
      <c r="F14" s="4">
        <v>7</v>
      </c>
      <c r="G14" s="4">
        <v>7</v>
      </c>
      <c r="H14" s="4">
        <v>5</v>
      </c>
      <c r="I14" s="4">
        <v>2</v>
      </c>
      <c r="J14" s="4">
        <v>2</v>
      </c>
      <c r="K14" s="4">
        <v>3</v>
      </c>
      <c r="L14" s="4">
        <v>2</v>
      </c>
      <c r="M14" s="4">
        <v>2</v>
      </c>
      <c r="N14" s="4">
        <v>2</v>
      </c>
      <c r="O14" s="4">
        <v>48</v>
      </c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</row>
    <row r="15" spans="2:93" x14ac:dyDescent="0.2">
      <c r="B15" s="20" t="s">
        <v>519</v>
      </c>
      <c r="C15" s="4">
        <v>1</v>
      </c>
      <c r="D15" s="4">
        <v>1</v>
      </c>
      <c r="E15" s="4">
        <v>1</v>
      </c>
      <c r="F15" s="4">
        <v>4</v>
      </c>
      <c r="G15" s="4">
        <v>3</v>
      </c>
      <c r="H15" s="4">
        <v>5</v>
      </c>
      <c r="I15" s="4">
        <v>1</v>
      </c>
      <c r="J15" s="4">
        <v>5</v>
      </c>
      <c r="K15" s="4">
        <v>5</v>
      </c>
      <c r="L15" s="4">
        <v>3</v>
      </c>
      <c r="M15" s="4">
        <v>2</v>
      </c>
      <c r="N15" s="4">
        <v>3</v>
      </c>
      <c r="O15" s="4">
        <v>34</v>
      </c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</row>
    <row r="16" spans="2:93" x14ac:dyDescent="0.2">
      <c r="B16" s="20" t="s">
        <v>520</v>
      </c>
      <c r="C16" s="4">
        <v>2</v>
      </c>
      <c r="D16" s="4">
        <v>5</v>
      </c>
      <c r="E16" s="4">
        <v>1</v>
      </c>
      <c r="F16" s="4">
        <v>5</v>
      </c>
      <c r="G16" s="4">
        <v>2</v>
      </c>
      <c r="H16" s="4">
        <v>8</v>
      </c>
      <c r="I16" s="4">
        <v>3</v>
      </c>
      <c r="J16" s="4">
        <v>7</v>
      </c>
      <c r="K16" s="4">
        <v>5</v>
      </c>
      <c r="L16" s="4">
        <v>5</v>
      </c>
      <c r="M16" s="4">
        <v>6</v>
      </c>
      <c r="N16" s="4">
        <v>1</v>
      </c>
      <c r="O16" s="4">
        <v>50</v>
      </c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</row>
    <row r="17" spans="2:60 16384:16384" x14ac:dyDescent="0.2">
      <c r="B17" s="20" t="s">
        <v>521</v>
      </c>
      <c r="C17" s="4">
        <v>1</v>
      </c>
      <c r="D17" s="4">
        <v>2</v>
      </c>
      <c r="E17" s="4">
        <v>1</v>
      </c>
      <c r="F17" s="4">
        <v>2</v>
      </c>
      <c r="G17" s="4">
        <v>4</v>
      </c>
      <c r="H17" s="4">
        <v>4</v>
      </c>
      <c r="I17" s="4">
        <v>1</v>
      </c>
      <c r="J17" s="4">
        <v>2</v>
      </c>
      <c r="K17" s="4">
        <v>3</v>
      </c>
      <c r="L17" s="4">
        <v>6</v>
      </c>
      <c r="M17" s="4">
        <v>2</v>
      </c>
      <c r="N17" s="4">
        <v>2</v>
      </c>
      <c r="O17" s="4">
        <v>30</v>
      </c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</row>
    <row r="18" spans="2:60 16384:16384" x14ac:dyDescent="0.2">
      <c r="B18" s="20" t="s">
        <v>550</v>
      </c>
      <c r="C18" s="4">
        <v>37</v>
      </c>
      <c r="D18" s="4">
        <v>45</v>
      </c>
      <c r="E18" s="4">
        <v>41</v>
      </c>
      <c r="F18" s="4">
        <v>50</v>
      </c>
      <c r="G18" s="4">
        <v>39</v>
      </c>
      <c r="H18" s="4">
        <v>50</v>
      </c>
      <c r="I18" s="4">
        <v>35</v>
      </c>
      <c r="J18" s="4">
        <v>36</v>
      </c>
      <c r="K18" s="4">
        <v>57</v>
      </c>
      <c r="L18" s="4">
        <v>53</v>
      </c>
      <c r="M18" s="4">
        <v>44</v>
      </c>
      <c r="N18" s="4">
        <v>39</v>
      </c>
      <c r="O18" s="4">
        <v>526</v>
      </c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</row>
    <row r="19" spans="2:60 16384:16384" x14ac:dyDescent="0.2"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</row>
    <row r="20" spans="2:60 16384:16384" x14ac:dyDescent="0.2">
      <c r="B20"/>
      <c r="C20"/>
      <c r="D20"/>
      <c r="E20"/>
      <c r="F20"/>
      <c r="G20"/>
      <c r="H20"/>
      <c r="I20"/>
      <c r="J20"/>
      <c r="K20"/>
      <c r="L20"/>
      <c r="M20"/>
      <c r="N20"/>
      <c r="O20"/>
    </row>
    <row r="21" spans="2:60 16384:16384" x14ac:dyDescent="0.2">
      <c r="B21"/>
      <c r="C21"/>
      <c r="D21"/>
      <c r="E21"/>
      <c r="F21"/>
      <c r="G21"/>
      <c r="H21"/>
      <c r="I21"/>
      <c r="J21"/>
      <c r="K21"/>
      <c r="L21"/>
      <c r="M21"/>
      <c r="N21"/>
      <c r="O21"/>
    </row>
    <row r="22" spans="2:60 16384:16384" x14ac:dyDescent="0.2">
      <c r="B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/>
      <c r="XFD22" s="4" t="e">
        <f>MEDIAN(XFD6:XFD17)</f>
        <v>#NUM!</v>
      </c>
    </row>
    <row r="23" spans="2:60 16384:16384" x14ac:dyDescent="0.2">
      <c r="B23"/>
      <c r="C23"/>
      <c r="D23"/>
      <c r="E23"/>
      <c r="F23"/>
      <c r="G23"/>
      <c r="H23"/>
      <c r="I23"/>
      <c r="J23"/>
      <c r="K23"/>
      <c r="L23"/>
      <c r="M23"/>
      <c r="N23"/>
      <c r="O23"/>
    </row>
    <row r="24" spans="2:60 16384:16384" x14ac:dyDescent="0.2">
      <c r="B24"/>
      <c r="C24"/>
      <c r="D24"/>
      <c r="E24"/>
      <c r="F24"/>
      <c r="G24"/>
      <c r="H24"/>
      <c r="I24"/>
      <c r="J24"/>
      <c r="K24"/>
      <c r="L24"/>
      <c r="M24"/>
      <c r="N24"/>
      <c r="O24"/>
    </row>
    <row r="25" spans="2:60 16384:16384" x14ac:dyDescent="0.2">
      <c r="B25"/>
      <c r="C25"/>
      <c r="D25"/>
      <c r="E25"/>
      <c r="F25"/>
      <c r="G25"/>
      <c r="H25"/>
      <c r="I25"/>
      <c r="J25"/>
      <c r="K25"/>
      <c r="L25"/>
      <c r="M25"/>
      <c r="N25"/>
      <c r="O25"/>
    </row>
    <row r="26" spans="2:60 16384:16384" x14ac:dyDescent="0.2">
      <c r="B26"/>
      <c r="C26"/>
      <c r="D26"/>
      <c r="E26"/>
      <c r="F26"/>
      <c r="G26"/>
      <c r="H26"/>
      <c r="I26"/>
      <c r="J26"/>
      <c r="K26"/>
      <c r="L26"/>
      <c r="M26"/>
      <c r="N26"/>
      <c r="O26"/>
    </row>
    <row r="27" spans="2:60 16384:16384" x14ac:dyDescent="0.2">
      <c r="B27"/>
      <c r="C27"/>
      <c r="D27"/>
      <c r="E27"/>
      <c r="F27"/>
      <c r="G27"/>
      <c r="H27"/>
      <c r="I27"/>
      <c r="J27"/>
      <c r="K27"/>
      <c r="L27"/>
      <c r="M27"/>
      <c r="N27"/>
      <c r="O27"/>
    </row>
    <row r="28" spans="2:60 16384:16384" x14ac:dyDescent="0.2">
      <c r="B28"/>
      <c r="C28"/>
      <c r="D28"/>
      <c r="E28"/>
      <c r="F28"/>
      <c r="G28"/>
      <c r="H28"/>
      <c r="I28"/>
      <c r="J28"/>
      <c r="K28"/>
      <c r="L28"/>
      <c r="M28"/>
      <c r="N28"/>
      <c r="O28"/>
    </row>
    <row r="29" spans="2:60 16384:16384" x14ac:dyDescent="0.2">
      <c r="B29"/>
      <c r="C29"/>
      <c r="D29"/>
      <c r="E29"/>
      <c r="F29"/>
      <c r="G29"/>
      <c r="H29"/>
      <c r="I29"/>
      <c r="J29"/>
      <c r="K29"/>
      <c r="L29"/>
      <c r="M29"/>
      <c r="N29"/>
      <c r="O29"/>
    </row>
    <row r="30" spans="2:60 16384:16384" x14ac:dyDescent="0.2">
      <c r="B30"/>
      <c r="C30"/>
      <c r="D30"/>
      <c r="E30"/>
      <c r="F30"/>
      <c r="G30"/>
      <c r="H30"/>
      <c r="I30"/>
      <c r="J30"/>
      <c r="K30"/>
      <c r="L30"/>
      <c r="M30"/>
      <c r="N30"/>
      <c r="O30"/>
    </row>
    <row r="31" spans="2:60 16384:16384" x14ac:dyDescent="0.2">
      <c r="B31"/>
      <c r="C31"/>
      <c r="D31"/>
      <c r="E31"/>
      <c r="F31"/>
      <c r="G31"/>
      <c r="H31"/>
      <c r="I31"/>
      <c r="J31"/>
      <c r="K31"/>
      <c r="L31"/>
      <c r="M31"/>
      <c r="N31"/>
      <c r="O31"/>
    </row>
    <row r="32" spans="2:60 16384:16384" x14ac:dyDescent="0.2">
      <c r="B32"/>
      <c r="C32"/>
      <c r="D32"/>
      <c r="E32"/>
      <c r="F32"/>
      <c r="G32"/>
      <c r="H32"/>
      <c r="I32"/>
      <c r="J32"/>
      <c r="K32"/>
      <c r="L32"/>
      <c r="M32"/>
      <c r="N32"/>
      <c r="O32"/>
    </row>
    <row r="33" spans="2:15" x14ac:dyDescent="0.2">
      <c r="B33"/>
      <c r="C33"/>
      <c r="D33"/>
      <c r="E33"/>
      <c r="F33"/>
      <c r="G33"/>
      <c r="H33"/>
      <c r="I33"/>
      <c r="J33"/>
      <c r="K33"/>
      <c r="L33"/>
      <c r="M33"/>
      <c r="N33"/>
      <c r="O33"/>
    </row>
    <row r="34" spans="2:15" x14ac:dyDescent="0.2">
      <c r="B34"/>
      <c r="C34"/>
      <c r="D34"/>
      <c r="E34"/>
      <c r="F34"/>
      <c r="G34"/>
      <c r="H34"/>
      <c r="I34"/>
      <c r="J34"/>
      <c r="K34"/>
      <c r="L34"/>
      <c r="M34"/>
      <c r="N34"/>
      <c r="O34"/>
    </row>
    <row r="35" spans="2:15" x14ac:dyDescent="0.2">
      <c r="B35"/>
      <c r="C35"/>
      <c r="D35"/>
      <c r="E35"/>
      <c r="F35"/>
      <c r="G35"/>
      <c r="H35"/>
      <c r="I35"/>
      <c r="J35"/>
      <c r="K35"/>
      <c r="L35"/>
      <c r="M35"/>
      <c r="N35"/>
      <c r="O35"/>
    </row>
    <row r="36" spans="2:15" x14ac:dyDescent="0.2"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2:15" x14ac:dyDescent="0.2"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2:15" x14ac:dyDescent="0.2">
      <c r="B38"/>
      <c r="C38"/>
      <c r="D38"/>
      <c r="E38"/>
      <c r="F38"/>
      <c r="G38"/>
      <c r="H38"/>
      <c r="I38"/>
      <c r="J38"/>
      <c r="K38"/>
      <c r="L38"/>
      <c r="M38"/>
      <c r="N38"/>
      <c r="O38"/>
    </row>
    <row r="39" spans="2:15" x14ac:dyDescent="0.2">
      <c r="B39"/>
      <c r="C39"/>
      <c r="D39"/>
      <c r="E39"/>
      <c r="F39"/>
      <c r="G39"/>
      <c r="H39"/>
      <c r="I39"/>
      <c r="J39"/>
      <c r="K39"/>
      <c r="L39"/>
      <c r="M39"/>
      <c r="N39"/>
      <c r="O39"/>
    </row>
    <row r="40" spans="2:15" x14ac:dyDescent="0.2">
      <c r="B40"/>
      <c r="C40"/>
      <c r="D40"/>
      <c r="E40"/>
      <c r="F40"/>
      <c r="G40"/>
      <c r="H40"/>
      <c r="I40"/>
      <c r="J40"/>
      <c r="K40"/>
      <c r="L40"/>
      <c r="M40"/>
      <c r="N40"/>
      <c r="O40"/>
    </row>
    <row r="41" spans="2:15" x14ac:dyDescent="0.2">
      <c r="B41"/>
      <c r="C41"/>
      <c r="D41"/>
      <c r="E41"/>
      <c r="F41"/>
      <c r="G41"/>
      <c r="H41"/>
      <c r="I41"/>
      <c r="J41"/>
      <c r="K41"/>
      <c r="L41"/>
      <c r="M41"/>
      <c r="N41"/>
      <c r="O41"/>
    </row>
    <row r="42" spans="2:15" x14ac:dyDescent="0.2">
      <c r="B42"/>
      <c r="C42"/>
      <c r="D42"/>
      <c r="E42"/>
      <c r="F42"/>
      <c r="G42"/>
      <c r="H42"/>
      <c r="I42"/>
      <c r="J42"/>
      <c r="K42"/>
      <c r="L42"/>
      <c r="M42"/>
      <c r="N42"/>
      <c r="O42"/>
    </row>
    <row r="43" spans="2:15" x14ac:dyDescent="0.2">
      <c r="B43"/>
      <c r="C43"/>
      <c r="D43"/>
      <c r="E43"/>
      <c r="F43"/>
      <c r="G43"/>
      <c r="H43"/>
      <c r="I43"/>
      <c r="J43"/>
      <c r="K43"/>
      <c r="L43"/>
      <c r="M43"/>
      <c r="N43"/>
      <c r="O43"/>
    </row>
    <row r="44" spans="2:15" x14ac:dyDescent="0.2"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2:15" x14ac:dyDescent="0.2"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2:15" x14ac:dyDescent="0.2"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2:15" x14ac:dyDescent="0.2"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2:15" x14ac:dyDescent="0.2"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2:15" x14ac:dyDescent="0.2"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2:15" x14ac:dyDescent="0.2"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2:15" x14ac:dyDescent="0.2"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2:15" x14ac:dyDescent="0.2"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2:15" x14ac:dyDescent="0.2"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2:15" x14ac:dyDescent="0.2"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2:15" x14ac:dyDescent="0.2"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2:15" x14ac:dyDescent="0.2"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2:15" x14ac:dyDescent="0.2"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2:15" x14ac:dyDescent="0.2"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2:15" x14ac:dyDescent="0.2"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2:15" x14ac:dyDescent="0.2"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2:15" x14ac:dyDescent="0.2"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2:15" x14ac:dyDescent="0.2"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2:15" x14ac:dyDescent="0.2">
      <c r="B63"/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2:15" x14ac:dyDescent="0.2">
      <c r="B64"/>
      <c r="C64"/>
      <c r="D64"/>
      <c r="E64"/>
      <c r="F64"/>
      <c r="G64"/>
      <c r="H64"/>
      <c r="I64"/>
      <c r="J64"/>
      <c r="K64"/>
      <c r="L64"/>
      <c r="M64"/>
      <c r="N64"/>
      <c r="O64"/>
    </row>
    <row r="65" spans="2:15" x14ac:dyDescent="0.2">
      <c r="B65"/>
      <c r="C65"/>
      <c r="D65"/>
      <c r="E65"/>
      <c r="F65"/>
      <c r="G65"/>
      <c r="H65"/>
      <c r="I65"/>
      <c r="J65"/>
      <c r="K65"/>
      <c r="L65"/>
      <c r="M65"/>
      <c r="N65"/>
      <c r="O65"/>
    </row>
    <row r="66" spans="2:15" x14ac:dyDescent="0.2">
      <c r="B66"/>
      <c r="C66"/>
      <c r="D66"/>
      <c r="E66"/>
      <c r="F66"/>
      <c r="G66"/>
      <c r="H66"/>
      <c r="I66"/>
      <c r="J66"/>
      <c r="K66"/>
      <c r="L66"/>
      <c r="M66"/>
      <c r="N66"/>
      <c r="O66"/>
    </row>
    <row r="67" spans="2:15" x14ac:dyDescent="0.2">
      <c r="B67"/>
      <c r="C67"/>
      <c r="D67"/>
      <c r="E67"/>
      <c r="F67"/>
      <c r="G67"/>
      <c r="H67"/>
      <c r="I67"/>
      <c r="J67"/>
      <c r="K67"/>
      <c r="L67"/>
      <c r="M67"/>
      <c r="N67"/>
      <c r="O67"/>
    </row>
    <row r="68" spans="2:15" x14ac:dyDescent="0.2">
      <c r="B68"/>
      <c r="C68"/>
      <c r="D68"/>
      <c r="E68"/>
      <c r="F68"/>
      <c r="G68"/>
      <c r="H68"/>
      <c r="I68"/>
      <c r="J68"/>
      <c r="K68"/>
      <c r="L68"/>
      <c r="M68"/>
      <c r="N68"/>
      <c r="O68"/>
    </row>
    <row r="69" spans="2:15" x14ac:dyDescent="0.2">
      <c r="B69"/>
      <c r="C69"/>
      <c r="D69"/>
      <c r="E69"/>
      <c r="F69"/>
      <c r="G69"/>
      <c r="H69"/>
      <c r="I69"/>
      <c r="J69"/>
      <c r="K69"/>
      <c r="L69"/>
      <c r="M69"/>
      <c r="N69"/>
      <c r="O69"/>
    </row>
    <row r="70" spans="2:15" x14ac:dyDescent="0.2">
      <c r="B70"/>
      <c r="C70"/>
      <c r="D70"/>
      <c r="E70"/>
      <c r="F70"/>
      <c r="G70"/>
      <c r="H70"/>
      <c r="I70"/>
      <c r="J70"/>
      <c r="K70"/>
      <c r="L70"/>
      <c r="M70"/>
      <c r="N70"/>
      <c r="O70"/>
    </row>
    <row r="71" spans="2:15" x14ac:dyDescent="0.2">
      <c r="B71"/>
      <c r="C71"/>
      <c r="D71"/>
      <c r="E71"/>
      <c r="F71"/>
      <c r="G71"/>
      <c r="H71"/>
      <c r="I71"/>
      <c r="J71"/>
      <c r="K71"/>
      <c r="L71"/>
      <c r="M71"/>
      <c r="N71"/>
      <c r="O71"/>
    </row>
    <row r="72" spans="2:15" x14ac:dyDescent="0.2">
      <c r="B72"/>
      <c r="C72"/>
      <c r="D72"/>
      <c r="E72"/>
      <c r="F72"/>
      <c r="G72"/>
      <c r="H72"/>
      <c r="I72"/>
      <c r="J72"/>
      <c r="K72"/>
      <c r="L72"/>
      <c r="M72"/>
      <c r="N72"/>
      <c r="O72"/>
    </row>
    <row r="73" spans="2:15" x14ac:dyDescent="0.2">
      <c r="B73"/>
      <c r="C73"/>
      <c r="D73"/>
      <c r="E73"/>
      <c r="F73"/>
      <c r="G73"/>
      <c r="H73"/>
      <c r="I73"/>
      <c r="J73"/>
      <c r="K73"/>
      <c r="L73"/>
      <c r="M73"/>
      <c r="N73"/>
      <c r="O73"/>
    </row>
    <row r="74" spans="2:15" x14ac:dyDescent="0.2">
      <c r="B74"/>
      <c r="C74"/>
      <c r="D74"/>
      <c r="E74"/>
      <c r="F74"/>
      <c r="G74"/>
      <c r="H74"/>
      <c r="I74"/>
      <c r="J74"/>
      <c r="K74"/>
      <c r="L74"/>
      <c r="M74"/>
      <c r="N74"/>
      <c r="O74"/>
    </row>
    <row r="75" spans="2:15" x14ac:dyDescent="0.2">
      <c r="B75"/>
      <c r="C75"/>
      <c r="D75"/>
      <c r="E75"/>
      <c r="F75"/>
      <c r="G75"/>
      <c r="H75"/>
      <c r="I75"/>
      <c r="J75"/>
      <c r="K75"/>
      <c r="L75"/>
      <c r="M75"/>
      <c r="N75"/>
      <c r="O75"/>
    </row>
    <row r="76" spans="2:15" x14ac:dyDescent="0.2">
      <c r="B76"/>
      <c r="C76"/>
      <c r="D76"/>
      <c r="E76"/>
      <c r="F76"/>
      <c r="G76"/>
      <c r="H76"/>
      <c r="I76"/>
      <c r="J76"/>
      <c r="K76"/>
      <c r="L76"/>
      <c r="M76"/>
      <c r="N76"/>
      <c r="O76"/>
    </row>
    <row r="77" spans="2:15" x14ac:dyDescent="0.2">
      <c r="B77"/>
      <c r="C77"/>
      <c r="D77"/>
      <c r="E77"/>
      <c r="F77"/>
      <c r="G77"/>
      <c r="H77"/>
      <c r="I77"/>
      <c r="J77"/>
      <c r="K77"/>
      <c r="L77"/>
      <c r="M77"/>
      <c r="N77"/>
      <c r="O77"/>
    </row>
    <row r="78" spans="2:15" x14ac:dyDescent="0.2">
      <c r="B78"/>
      <c r="C78"/>
      <c r="D78"/>
      <c r="E78"/>
      <c r="F78"/>
      <c r="G78"/>
      <c r="H78"/>
      <c r="I78"/>
      <c r="J78"/>
      <c r="K78"/>
      <c r="L78"/>
      <c r="M78"/>
      <c r="N78"/>
      <c r="O78"/>
    </row>
    <row r="79" spans="2:15" x14ac:dyDescent="0.2">
      <c r="B79"/>
      <c r="C79"/>
      <c r="D79"/>
      <c r="E79"/>
      <c r="F79"/>
      <c r="G79"/>
      <c r="H79"/>
      <c r="I79"/>
      <c r="J79"/>
      <c r="K79"/>
      <c r="L79"/>
      <c r="M79"/>
      <c r="N79"/>
      <c r="O79"/>
    </row>
    <row r="80" spans="2:15" x14ac:dyDescent="0.2">
      <c r="B80"/>
      <c r="C80"/>
      <c r="D80"/>
      <c r="E80"/>
      <c r="F80"/>
      <c r="G80"/>
      <c r="H80"/>
      <c r="I80"/>
      <c r="J80"/>
      <c r="K80"/>
      <c r="L80"/>
      <c r="M80"/>
      <c r="N80"/>
      <c r="O80"/>
    </row>
    <row r="81" spans="2:15" x14ac:dyDescent="0.2">
      <c r="B81"/>
      <c r="C81"/>
      <c r="D81"/>
      <c r="E81"/>
      <c r="F81"/>
      <c r="G81"/>
      <c r="H81"/>
      <c r="I81"/>
      <c r="J81"/>
      <c r="K81"/>
      <c r="L81"/>
      <c r="M81"/>
      <c r="N81"/>
      <c r="O81"/>
    </row>
    <row r="82" spans="2:15" x14ac:dyDescent="0.2">
      <c r="B82"/>
      <c r="C82"/>
      <c r="D82"/>
      <c r="E82"/>
      <c r="F82"/>
      <c r="G82"/>
      <c r="H82"/>
      <c r="I82"/>
      <c r="J82"/>
      <c r="K82"/>
      <c r="L82"/>
      <c r="M82"/>
      <c r="N82"/>
      <c r="O82"/>
    </row>
    <row r="83" spans="2:15" x14ac:dyDescent="0.2">
      <c r="B83"/>
      <c r="C83"/>
      <c r="D83"/>
      <c r="E83"/>
      <c r="F83"/>
      <c r="G83"/>
      <c r="H83"/>
      <c r="I83"/>
      <c r="J83"/>
      <c r="K83"/>
      <c r="L83"/>
      <c r="M83"/>
      <c r="N83"/>
      <c r="O83"/>
    </row>
    <row r="84" spans="2:15" x14ac:dyDescent="0.2">
      <c r="B84"/>
      <c r="C84"/>
      <c r="D84"/>
      <c r="E84"/>
      <c r="F84"/>
      <c r="G84"/>
      <c r="H84"/>
      <c r="I84"/>
      <c r="J84"/>
      <c r="K84"/>
      <c r="L84"/>
      <c r="M84"/>
      <c r="N84"/>
      <c r="O84"/>
    </row>
    <row r="85" spans="2:15" x14ac:dyDescent="0.2">
      <c r="B85"/>
      <c r="C85"/>
      <c r="D85"/>
      <c r="E85"/>
      <c r="F85"/>
      <c r="G85"/>
      <c r="H85"/>
      <c r="I85"/>
      <c r="J85"/>
      <c r="K85"/>
      <c r="L85"/>
      <c r="M85"/>
      <c r="N85"/>
      <c r="O85"/>
    </row>
    <row r="86" spans="2:15" x14ac:dyDescent="0.2">
      <c r="B86"/>
      <c r="C86"/>
      <c r="D86"/>
      <c r="E86"/>
      <c r="F86"/>
      <c r="G86"/>
      <c r="H86"/>
      <c r="I86"/>
      <c r="J86"/>
      <c r="K86"/>
      <c r="L86"/>
      <c r="M86"/>
      <c r="N86"/>
      <c r="O86"/>
    </row>
    <row r="87" spans="2:15" x14ac:dyDescent="0.2">
      <c r="B87"/>
      <c r="C87"/>
      <c r="D87"/>
      <c r="E87"/>
      <c r="F87"/>
      <c r="G87"/>
      <c r="H87"/>
      <c r="I87"/>
      <c r="J87"/>
      <c r="K87"/>
      <c r="L87"/>
      <c r="M87"/>
      <c r="N87"/>
      <c r="O87"/>
    </row>
    <row r="88" spans="2:15" x14ac:dyDescent="0.2">
      <c r="B88"/>
      <c r="C88"/>
      <c r="D88"/>
      <c r="E88"/>
      <c r="F88"/>
      <c r="G88"/>
      <c r="H88"/>
      <c r="I88"/>
      <c r="J88"/>
      <c r="K88"/>
      <c r="L88"/>
      <c r="M88"/>
      <c r="N88"/>
      <c r="O88"/>
    </row>
    <row r="89" spans="2:15" x14ac:dyDescent="0.2">
      <c r="B89"/>
      <c r="C89"/>
      <c r="D89"/>
      <c r="E89"/>
      <c r="F89"/>
      <c r="G89"/>
      <c r="H89"/>
      <c r="I89"/>
      <c r="J89"/>
      <c r="K89"/>
      <c r="L89"/>
      <c r="M89"/>
      <c r="N89"/>
      <c r="O89"/>
    </row>
    <row r="90" spans="2:15" x14ac:dyDescent="0.2">
      <c r="B90"/>
      <c r="C90"/>
      <c r="D90"/>
      <c r="E90"/>
      <c r="F90"/>
      <c r="G90"/>
      <c r="H90"/>
      <c r="I90"/>
      <c r="J90"/>
      <c r="K90"/>
      <c r="L90"/>
      <c r="M90"/>
      <c r="N90"/>
      <c r="O90"/>
    </row>
    <row r="91" spans="2:15" x14ac:dyDescent="0.2">
      <c r="B91"/>
      <c r="C91"/>
      <c r="D91"/>
      <c r="E91"/>
      <c r="F91"/>
      <c r="G91"/>
      <c r="H91"/>
      <c r="I91"/>
      <c r="J91"/>
      <c r="K91"/>
      <c r="L91"/>
      <c r="M91"/>
      <c r="N91"/>
      <c r="O91"/>
    </row>
    <row r="92" spans="2:15" x14ac:dyDescent="0.2">
      <c r="B92"/>
      <c r="C92"/>
      <c r="D92"/>
      <c r="E92"/>
      <c r="F92"/>
      <c r="G92"/>
      <c r="H92"/>
      <c r="I92"/>
      <c r="J92"/>
      <c r="K92"/>
      <c r="L92"/>
      <c r="M92"/>
      <c r="N92"/>
      <c r="O92"/>
    </row>
    <row r="93" spans="2:15" x14ac:dyDescent="0.2">
      <c r="B93"/>
      <c r="C93"/>
      <c r="D93"/>
      <c r="E93"/>
      <c r="F93"/>
      <c r="G93"/>
      <c r="H93"/>
      <c r="I93"/>
      <c r="J93"/>
      <c r="K93"/>
      <c r="L93"/>
      <c r="M93"/>
      <c r="N93"/>
      <c r="O93"/>
    </row>
    <row r="94" spans="2:15" x14ac:dyDescent="0.2">
      <c r="B94"/>
      <c r="C94"/>
      <c r="D94"/>
      <c r="E94"/>
      <c r="F94"/>
      <c r="G94"/>
      <c r="H94"/>
      <c r="I94"/>
      <c r="J94"/>
      <c r="K94"/>
      <c r="L94"/>
      <c r="M94"/>
      <c r="N94"/>
      <c r="O94"/>
    </row>
    <row r="95" spans="2:15" x14ac:dyDescent="0.2">
      <c r="B95"/>
      <c r="C95"/>
      <c r="D95"/>
      <c r="E95"/>
      <c r="F95"/>
      <c r="G95"/>
      <c r="H95"/>
      <c r="I95"/>
      <c r="J95"/>
      <c r="K95"/>
      <c r="L95"/>
      <c r="M95"/>
      <c r="N95"/>
      <c r="O95"/>
    </row>
    <row r="96" spans="2:15" x14ac:dyDescent="0.2">
      <c r="B96"/>
      <c r="C96"/>
      <c r="D96"/>
      <c r="E96"/>
      <c r="F96"/>
      <c r="G96"/>
      <c r="H96"/>
      <c r="I96"/>
      <c r="J96"/>
      <c r="K96"/>
      <c r="L96"/>
      <c r="M96"/>
      <c r="N96"/>
      <c r="O96"/>
    </row>
    <row r="97" spans="2:15" x14ac:dyDescent="0.2">
      <c r="B97"/>
      <c r="C97"/>
      <c r="D97"/>
      <c r="E97"/>
      <c r="F97"/>
      <c r="G97"/>
      <c r="H97"/>
      <c r="I97"/>
      <c r="J97"/>
      <c r="K97"/>
      <c r="L97"/>
      <c r="M97"/>
      <c r="N97"/>
      <c r="O97"/>
    </row>
    <row r="98" spans="2:15" x14ac:dyDescent="0.2">
      <c r="B98"/>
      <c r="C98"/>
      <c r="D98"/>
      <c r="E98"/>
      <c r="F98"/>
      <c r="G98"/>
      <c r="H98"/>
      <c r="I98"/>
      <c r="J98"/>
      <c r="K98"/>
      <c r="L98"/>
      <c r="M98"/>
      <c r="N98"/>
      <c r="O98"/>
    </row>
    <row r="99" spans="2:15" x14ac:dyDescent="0.2">
      <c r="B99"/>
      <c r="C99"/>
      <c r="D99"/>
      <c r="E99"/>
      <c r="F99"/>
      <c r="G99"/>
      <c r="H99"/>
      <c r="I99"/>
      <c r="J99"/>
      <c r="K99"/>
      <c r="L99"/>
      <c r="M99"/>
      <c r="N99"/>
      <c r="O99"/>
    </row>
    <row r="100" spans="2:15" x14ac:dyDescent="0.2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</row>
    <row r="101" spans="2:15" x14ac:dyDescent="0.2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</row>
    <row r="102" spans="2:15" x14ac:dyDescent="0.2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</row>
    <row r="103" spans="2:15" x14ac:dyDescent="0.2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</row>
    <row r="104" spans="2:15" x14ac:dyDescent="0.2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</row>
    <row r="105" spans="2:15" x14ac:dyDescent="0.2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</row>
    <row r="106" spans="2:15" x14ac:dyDescent="0.2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</row>
    <row r="107" spans="2:15" x14ac:dyDescent="0.2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</row>
    <row r="108" spans="2:15" x14ac:dyDescent="0.2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</row>
    <row r="109" spans="2:15" x14ac:dyDescent="0.2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</row>
    <row r="110" spans="2:15" x14ac:dyDescent="0.2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</row>
    <row r="111" spans="2:15" x14ac:dyDescent="0.2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</row>
    <row r="112" spans="2:15" x14ac:dyDescent="0.2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</row>
    <row r="113" spans="2:15" x14ac:dyDescent="0.2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</row>
    <row r="114" spans="2:15" x14ac:dyDescent="0.2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</row>
    <row r="115" spans="2:15" x14ac:dyDescent="0.2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</row>
    <row r="116" spans="2:15" x14ac:dyDescent="0.2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</row>
    <row r="117" spans="2:15" x14ac:dyDescent="0.2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</row>
    <row r="118" spans="2:15" x14ac:dyDescent="0.2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</row>
    <row r="119" spans="2:15" x14ac:dyDescent="0.2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</row>
    <row r="120" spans="2:15" x14ac:dyDescent="0.2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</row>
    <row r="121" spans="2:15" x14ac:dyDescent="0.2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</row>
    <row r="122" spans="2:15" x14ac:dyDescent="0.2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</row>
    <row r="123" spans="2:15" x14ac:dyDescent="0.2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</row>
    <row r="124" spans="2:15" x14ac:dyDescent="0.2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</row>
    <row r="125" spans="2:15" x14ac:dyDescent="0.2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</row>
    <row r="126" spans="2:15" x14ac:dyDescent="0.2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</row>
    <row r="127" spans="2:15" x14ac:dyDescent="0.2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</row>
    <row r="128" spans="2:15" x14ac:dyDescent="0.2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</row>
    <row r="129" spans="2:15" x14ac:dyDescent="0.2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</row>
    <row r="130" spans="2:15" x14ac:dyDescent="0.2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</row>
    <row r="131" spans="2:15" x14ac:dyDescent="0.2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</row>
    <row r="132" spans="2:15" x14ac:dyDescent="0.2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</row>
    <row r="133" spans="2:15" x14ac:dyDescent="0.2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</row>
    <row r="134" spans="2:15" x14ac:dyDescent="0.2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</row>
    <row r="135" spans="2:15" x14ac:dyDescent="0.2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</row>
    <row r="136" spans="2:15" x14ac:dyDescent="0.2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</row>
    <row r="137" spans="2:15" x14ac:dyDescent="0.2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</row>
    <row r="138" spans="2:15" x14ac:dyDescent="0.2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</row>
    <row r="139" spans="2:15" x14ac:dyDescent="0.2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</row>
    <row r="140" spans="2:15" x14ac:dyDescent="0.2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</row>
    <row r="141" spans="2:15" x14ac:dyDescent="0.2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</row>
    <row r="142" spans="2:15" x14ac:dyDescent="0.2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</row>
    <row r="143" spans="2:15" x14ac:dyDescent="0.2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</row>
    <row r="144" spans="2:15" x14ac:dyDescent="0.2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</row>
    <row r="145" spans="2:15" x14ac:dyDescent="0.2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</row>
    <row r="146" spans="2:15" x14ac:dyDescent="0.2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</row>
    <row r="147" spans="2:15" x14ac:dyDescent="0.2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</row>
    <row r="148" spans="2:15" x14ac:dyDescent="0.2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</row>
    <row r="149" spans="2:15" x14ac:dyDescent="0.2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</row>
    <row r="150" spans="2:15" x14ac:dyDescent="0.2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</row>
    <row r="151" spans="2:15" x14ac:dyDescent="0.2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</row>
    <row r="152" spans="2:15" x14ac:dyDescent="0.2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</row>
    <row r="153" spans="2:15" x14ac:dyDescent="0.2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</row>
    <row r="154" spans="2:15" x14ac:dyDescent="0.2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</row>
    <row r="155" spans="2:15" x14ac:dyDescent="0.2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</row>
    <row r="156" spans="2:15" x14ac:dyDescent="0.2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</row>
    <row r="157" spans="2:15" x14ac:dyDescent="0.2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</row>
    <row r="158" spans="2:15" x14ac:dyDescent="0.2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</row>
    <row r="159" spans="2:15" x14ac:dyDescent="0.2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</row>
    <row r="160" spans="2:15" x14ac:dyDescent="0.2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</row>
    <row r="161" spans="2:15" x14ac:dyDescent="0.2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</row>
    <row r="162" spans="2:15" x14ac:dyDescent="0.2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</row>
    <row r="163" spans="2:15" x14ac:dyDescent="0.2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</row>
    <row r="164" spans="2:15" x14ac:dyDescent="0.2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</row>
    <row r="165" spans="2:15" x14ac:dyDescent="0.2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</row>
    <row r="166" spans="2:15" x14ac:dyDescent="0.2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</row>
    <row r="167" spans="2:15" x14ac:dyDescent="0.2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</row>
    <row r="168" spans="2:15" x14ac:dyDescent="0.2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</row>
    <row r="169" spans="2:15" x14ac:dyDescent="0.2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</row>
    <row r="170" spans="2:15" x14ac:dyDescent="0.2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</row>
    <row r="171" spans="2:15" x14ac:dyDescent="0.2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</row>
    <row r="172" spans="2:15" x14ac:dyDescent="0.2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</row>
    <row r="173" spans="2:15" x14ac:dyDescent="0.2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</row>
    <row r="174" spans="2:15" x14ac:dyDescent="0.2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</row>
    <row r="175" spans="2:15" x14ac:dyDescent="0.2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</row>
    <row r="176" spans="2:15" x14ac:dyDescent="0.2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</row>
    <row r="177" spans="2:15" x14ac:dyDescent="0.2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</row>
    <row r="178" spans="2:15" x14ac:dyDescent="0.2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</row>
    <row r="179" spans="2:15" x14ac:dyDescent="0.2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</row>
    <row r="180" spans="2:15" x14ac:dyDescent="0.2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</row>
    <row r="181" spans="2:15" x14ac:dyDescent="0.2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</row>
    <row r="182" spans="2:15" x14ac:dyDescent="0.2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</row>
    <row r="183" spans="2:15" x14ac:dyDescent="0.2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</row>
    <row r="184" spans="2:15" x14ac:dyDescent="0.2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</row>
    <row r="185" spans="2:15" x14ac:dyDescent="0.2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</row>
    <row r="186" spans="2:15" x14ac:dyDescent="0.2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</row>
    <row r="187" spans="2:15" x14ac:dyDescent="0.2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</row>
    <row r="188" spans="2:15" x14ac:dyDescent="0.2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</row>
    <row r="189" spans="2:15" x14ac:dyDescent="0.2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</row>
    <row r="190" spans="2:15" x14ac:dyDescent="0.2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</row>
    <row r="191" spans="2:15" x14ac:dyDescent="0.2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</row>
    <row r="192" spans="2:15" x14ac:dyDescent="0.2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</row>
    <row r="193" spans="2:15" x14ac:dyDescent="0.2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</row>
    <row r="194" spans="2:15" x14ac:dyDescent="0.2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</row>
    <row r="195" spans="2:15" x14ac:dyDescent="0.2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</row>
    <row r="196" spans="2:15" x14ac:dyDescent="0.2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</row>
    <row r="197" spans="2:15" x14ac:dyDescent="0.2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</row>
    <row r="198" spans="2:15" x14ac:dyDescent="0.2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</row>
    <row r="199" spans="2:15" x14ac:dyDescent="0.2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</row>
    <row r="200" spans="2:15" x14ac:dyDescent="0.2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</row>
    <row r="201" spans="2:15" x14ac:dyDescent="0.2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</row>
    <row r="202" spans="2:15" x14ac:dyDescent="0.2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</row>
    <row r="203" spans="2:15" x14ac:dyDescent="0.2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</row>
    <row r="204" spans="2:15" x14ac:dyDescent="0.2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</row>
    <row r="205" spans="2:15" x14ac:dyDescent="0.2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</row>
    <row r="206" spans="2:15" x14ac:dyDescent="0.2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</row>
    <row r="207" spans="2:15" x14ac:dyDescent="0.2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</row>
    <row r="208" spans="2:15" x14ac:dyDescent="0.2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</row>
    <row r="209" spans="2:15" x14ac:dyDescent="0.2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</row>
    <row r="210" spans="2:15" x14ac:dyDescent="0.2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</row>
    <row r="211" spans="2:15" x14ac:dyDescent="0.2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</row>
    <row r="212" spans="2:15" x14ac:dyDescent="0.2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</row>
    <row r="213" spans="2:15" x14ac:dyDescent="0.2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</row>
    <row r="214" spans="2:15" x14ac:dyDescent="0.2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</row>
    <row r="215" spans="2:15" x14ac:dyDescent="0.2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</row>
    <row r="216" spans="2:15" x14ac:dyDescent="0.2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</row>
    <row r="217" spans="2:15" x14ac:dyDescent="0.2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</row>
    <row r="218" spans="2:15" x14ac:dyDescent="0.2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</row>
    <row r="219" spans="2:15" x14ac:dyDescent="0.2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</row>
    <row r="220" spans="2:15" x14ac:dyDescent="0.2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</row>
    <row r="221" spans="2:15" x14ac:dyDescent="0.2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</row>
    <row r="222" spans="2:15" x14ac:dyDescent="0.2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</row>
    <row r="223" spans="2:15" x14ac:dyDescent="0.2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</row>
    <row r="224" spans="2:15" x14ac:dyDescent="0.2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</row>
    <row r="225" spans="2:15" x14ac:dyDescent="0.2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</row>
    <row r="226" spans="2:15" x14ac:dyDescent="0.2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</row>
    <row r="227" spans="2:15" x14ac:dyDescent="0.2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</row>
    <row r="228" spans="2:15" x14ac:dyDescent="0.2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</row>
    <row r="229" spans="2:15" x14ac:dyDescent="0.2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</row>
    <row r="230" spans="2:15" x14ac:dyDescent="0.2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</row>
    <row r="231" spans="2:15" x14ac:dyDescent="0.2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</row>
    <row r="232" spans="2:15" x14ac:dyDescent="0.2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</row>
    <row r="233" spans="2:15" x14ac:dyDescent="0.2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</row>
    <row r="234" spans="2:15" x14ac:dyDescent="0.2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</row>
    <row r="235" spans="2:15" x14ac:dyDescent="0.2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</row>
    <row r="236" spans="2:15" x14ac:dyDescent="0.2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</row>
    <row r="237" spans="2:15" x14ac:dyDescent="0.2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</row>
    <row r="238" spans="2:15" x14ac:dyDescent="0.2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</row>
    <row r="239" spans="2:15" x14ac:dyDescent="0.2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</row>
    <row r="240" spans="2:15" x14ac:dyDescent="0.2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</row>
    <row r="241" spans="2:15" x14ac:dyDescent="0.2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</row>
    <row r="242" spans="2:15" x14ac:dyDescent="0.2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</row>
    <row r="243" spans="2:15" x14ac:dyDescent="0.2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</row>
    <row r="244" spans="2:15" x14ac:dyDescent="0.2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</row>
    <row r="245" spans="2:15" x14ac:dyDescent="0.2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</row>
    <row r="246" spans="2:15" x14ac:dyDescent="0.2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</row>
    <row r="247" spans="2:15" x14ac:dyDescent="0.2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</row>
    <row r="248" spans="2:15" x14ac:dyDescent="0.2"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</row>
    <row r="249" spans="2:15" x14ac:dyDescent="0.2"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</row>
    <row r="250" spans="2:15" x14ac:dyDescent="0.2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</row>
    <row r="251" spans="2:15" x14ac:dyDescent="0.2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</row>
    <row r="252" spans="2:15" x14ac:dyDescent="0.2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</row>
    <row r="253" spans="2:15" x14ac:dyDescent="0.2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</row>
    <row r="254" spans="2:15" x14ac:dyDescent="0.2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</row>
    <row r="255" spans="2:15" x14ac:dyDescent="0.2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</row>
    <row r="256" spans="2:15" x14ac:dyDescent="0.2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</row>
    <row r="257" spans="2:15" x14ac:dyDescent="0.2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</row>
    <row r="258" spans="2:15" x14ac:dyDescent="0.2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</row>
    <row r="259" spans="2:15" x14ac:dyDescent="0.2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</row>
    <row r="260" spans="2:15" x14ac:dyDescent="0.2"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</row>
    <row r="261" spans="2:15" x14ac:dyDescent="0.2"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</row>
    <row r="262" spans="2:15" x14ac:dyDescent="0.2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</row>
    <row r="263" spans="2:15" x14ac:dyDescent="0.2"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</row>
    <row r="264" spans="2:15" x14ac:dyDescent="0.2"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</row>
    <row r="265" spans="2:15" x14ac:dyDescent="0.2"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</row>
    <row r="266" spans="2:15" x14ac:dyDescent="0.2"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</row>
    <row r="267" spans="2:15" x14ac:dyDescent="0.2"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</row>
    <row r="268" spans="2:15" x14ac:dyDescent="0.2"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</row>
    <row r="269" spans="2:15" x14ac:dyDescent="0.2"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</row>
    <row r="270" spans="2:15" x14ac:dyDescent="0.2"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</row>
    <row r="271" spans="2:15" x14ac:dyDescent="0.2"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</row>
    <row r="272" spans="2:15" x14ac:dyDescent="0.2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</row>
    <row r="273" spans="2:15" x14ac:dyDescent="0.2"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</row>
    <row r="274" spans="2:15" x14ac:dyDescent="0.2"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</row>
    <row r="275" spans="2:15" x14ac:dyDescent="0.2"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</row>
    <row r="276" spans="2:15" x14ac:dyDescent="0.2"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</row>
    <row r="277" spans="2:15" x14ac:dyDescent="0.2"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</row>
    <row r="278" spans="2:15" x14ac:dyDescent="0.2"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</row>
    <row r="279" spans="2:15" x14ac:dyDescent="0.2"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</row>
    <row r="280" spans="2:15" x14ac:dyDescent="0.2"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</row>
    <row r="281" spans="2:15" x14ac:dyDescent="0.2"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</row>
    <row r="282" spans="2:15" x14ac:dyDescent="0.2"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</row>
    <row r="283" spans="2:15" x14ac:dyDescent="0.2"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</row>
    <row r="284" spans="2:15" x14ac:dyDescent="0.2"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</row>
    <row r="285" spans="2:15" x14ac:dyDescent="0.2"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</row>
    <row r="286" spans="2:15" x14ac:dyDescent="0.2"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</row>
    <row r="287" spans="2:15" x14ac:dyDescent="0.2"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</row>
    <row r="288" spans="2:15" x14ac:dyDescent="0.2"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</row>
    <row r="289" spans="2:15" x14ac:dyDescent="0.2"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</row>
    <row r="290" spans="2:15" x14ac:dyDescent="0.2"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</row>
    <row r="291" spans="2:15" x14ac:dyDescent="0.2"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</row>
    <row r="292" spans="2:15" x14ac:dyDescent="0.2"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</row>
    <row r="293" spans="2:15" x14ac:dyDescent="0.2"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</row>
    <row r="294" spans="2:15" x14ac:dyDescent="0.2"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</row>
    <row r="295" spans="2:15" x14ac:dyDescent="0.2"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</row>
    <row r="296" spans="2:15" x14ac:dyDescent="0.2"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</row>
    <row r="297" spans="2:15" x14ac:dyDescent="0.2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</row>
    <row r="298" spans="2:15" x14ac:dyDescent="0.2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</row>
    <row r="299" spans="2:15" x14ac:dyDescent="0.2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</row>
    <row r="300" spans="2:15" x14ac:dyDescent="0.2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</row>
    <row r="301" spans="2:15" x14ac:dyDescent="0.2"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</row>
    <row r="302" spans="2:15" x14ac:dyDescent="0.2"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</row>
    <row r="303" spans="2:15" x14ac:dyDescent="0.2"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</row>
    <row r="304" spans="2:15" x14ac:dyDescent="0.2"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</row>
    <row r="305" spans="2:15" x14ac:dyDescent="0.2"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</row>
    <row r="306" spans="2:15" x14ac:dyDescent="0.2"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</row>
    <row r="307" spans="2:15" x14ac:dyDescent="0.2"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</row>
    <row r="308" spans="2:15" x14ac:dyDescent="0.2"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</row>
    <row r="309" spans="2:15" x14ac:dyDescent="0.2"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</row>
    <row r="310" spans="2:15" x14ac:dyDescent="0.2"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</row>
    <row r="311" spans="2:15" x14ac:dyDescent="0.2"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</row>
    <row r="312" spans="2:15" x14ac:dyDescent="0.2"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</row>
    <row r="313" spans="2:15" x14ac:dyDescent="0.2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</row>
    <row r="314" spans="2:15" x14ac:dyDescent="0.2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</row>
    <row r="315" spans="2:15" x14ac:dyDescent="0.2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</row>
    <row r="316" spans="2:15" x14ac:dyDescent="0.2"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</row>
    <row r="317" spans="2:15" x14ac:dyDescent="0.2"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</row>
    <row r="318" spans="2:15" x14ac:dyDescent="0.2"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</row>
    <row r="319" spans="2:15" x14ac:dyDescent="0.2"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</row>
    <row r="320" spans="2:15" x14ac:dyDescent="0.2"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</row>
    <row r="321" spans="2:15" x14ac:dyDescent="0.2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</row>
    <row r="322" spans="2:15" x14ac:dyDescent="0.2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</row>
    <row r="323" spans="2:15" x14ac:dyDescent="0.2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</row>
    <row r="324" spans="2:15" x14ac:dyDescent="0.2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</row>
    <row r="325" spans="2:15" x14ac:dyDescent="0.2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</row>
    <row r="326" spans="2:15" x14ac:dyDescent="0.2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</row>
    <row r="327" spans="2:15" x14ac:dyDescent="0.2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</row>
    <row r="328" spans="2:15" x14ac:dyDescent="0.2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</row>
    <row r="329" spans="2:15" x14ac:dyDescent="0.2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</row>
    <row r="330" spans="2:15" x14ac:dyDescent="0.2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</row>
    <row r="331" spans="2:15" x14ac:dyDescent="0.2"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</row>
    <row r="332" spans="2:15" x14ac:dyDescent="0.2"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</row>
    <row r="333" spans="2:15" x14ac:dyDescent="0.2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</row>
    <row r="334" spans="2:15" x14ac:dyDescent="0.2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</row>
    <row r="335" spans="2:15" x14ac:dyDescent="0.2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</row>
    <row r="336" spans="2:15" x14ac:dyDescent="0.2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</row>
    <row r="337" spans="2:15" x14ac:dyDescent="0.2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</row>
    <row r="338" spans="2:15" x14ac:dyDescent="0.2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</row>
    <row r="339" spans="2:15" x14ac:dyDescent="0.2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</row>
    <row r="340" spans="2:15" x14ac:dyDescent="0.2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</row>
    <row r="341" spans="2:15" x14ac:dyDescent="0.2"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</row>
    <row r="342" spans="2:15" x14ac:dyDescent="0.2"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</row>
    <row r="343" spans="2:15" x14ac:dyDescent="0.2"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</row>
    <row r="344" spans="2:15" x14ac:dyDescent="0.2"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</row>
    <row r="345" spans="2:15" x14ac:dyDescent="0.2"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</row>
    <row r="346" spans="2:15" x14ac:dyDescent="0.2"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</row>
    <row r="347" spans="2:15" x14ac:dyDescent="0.2"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</row>
    <row r="348" spans="2:15" x14ac:dyDescent="0.2"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</row>
    <row r="349" spans="2:15" x14ac:dyDescent="0.2"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</row>
    <row r="350" spans="2:15" x14ac:dyDescent="0.2"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</row>
    <row r="351" spans="2:15" x14ac:dyDescent="0.2"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</row>
    <row r="352" spans="2:15" x14ac:dyDescent="0.2"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</row>
    <row r="353" spans="2:15" x14ac:dyDescent="0.2"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</row>
    <row r="354" spans="2:15" x14ac:dyDescent="0.2"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</row>
    <row r="355" spans="2:15" x14ac:dyDescent="0.2"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</row>
    <row r="356" spans="2:15" x14ac:dyDescent="0.2"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</row>
    <row r="357" spans="2:15" x14ac:dyDescent="0.2"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</row>
    <row r="358" spans="2:15" x14ac:dyDescent="0.2"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</row>
    <row r="359" spans="2:15" x14ac:dyDescent="0.2"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</row>
    <row r="360" spans="2:15" x14ac:dyDescent="0.2"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</row>
    <row r="361" spans="2:15" x14ac:dyDescent="0.2"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</row>
    <row r="362" spans="2:15" x14ac:dyDescent="0.2"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</row>
    <row r="363" spans="2:15" x14ac:dyDescent="0.2"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</row>
    <row r="364" spans="2:15" x14ac:dyDescent="0.2"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</row>
    <row r="365" spans="2:15" x14ac:dyDescent="0.2"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</row>
    <row r="366" spans="2:15" x14ac:dyDescent="0.2"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</row>
    <row r="367" spans="2:15" x14ac:dyDescent="0.2"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</row>
    <row r="368" spans="2:15" x14ac:dyDescent="0.2"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</row>
    <row r="369" spans="2:15" x14ac:dyDescent="0.2"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</row>
    <row r="370" spans="2:15" x14ac:dyDescent="0.2"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</row>
    <row r="371" spans="2:15" x14ac:dyDescent="0.2"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</row>
    <row r="372" spans="2:15" x14ac:dyDescent="0.2"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</row>
    <row r="373" spans="2:15" x14ac:dyDescent="0.2"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</row>
    <row r="374" spans="2:15" x14ac:dyDescent="0.2"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</row>
    <row r="375" spans="2:15" x14ac:dyDescent="0.2"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</row>
    <row r="376" spans="2:15" x14ac:dyDescent="0.2"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</row>
    <row r="377" spans="2:15" x14ac:dyDescent="0.2"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</row>
    <row r="378" spans="2:15" x14ac:dyDescent="0.2"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</row>
    <row r="379" spans="2:15" x14ac:dyDescent="0.2"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</row>
    <row r="380" spans="2:15" x14ac:dyDescent="0.2"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</row>
    <row r="381" spans="2:15" x14ac:dyDescent="0.2"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</row>
    <row r="382" spans="2:15" x14ac:dyDescent="0.2"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</row>
    <row r="383" spans="2:15" x14ac:dyDescent="0.2"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</row>
    <row r="384" spans="2:15" x14ac:dyDescent="0.2"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</row>
    <row r="385" spans="2:15" x14ac:dyDescent="0.2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</row>
    <row r="386" spans="2:15" x14ac:dyDescent="0.2"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</row>
    <row r="387" spans="2:15" x14ac:dyDescent="0.2"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</row>
    <row r="388" spans="2:15" x14ac:dyDescent="0.2"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</row>
    <row r="389" spans="2:15" x14ac:dyDescent="0.2"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</row>
    <row r="390" spans="2:15" x14ac:dyDescent="0.2"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</row>
    <row r="391" spans="2:15" x14ac:dyDescent="0.2"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</row>
    <row r="392" spans="2:15" x14ac:dyDescent="0.2"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</row>
    <row r="393" spans="2:15" x14ac:dyDescent="0.2"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</row>
    <row r="394" spans="2:15" x14ac:dyDescent="0.2"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</row>
    <row r="395" spans="2:15" x14ac:dyDescent="0.2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</row>
    <row r="396" spans="2:15" x14ac:dyDescent="0.2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</row>
    <row r="397" spans="2:15" x14ac:dyDescent="0.2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</row>
    <row r="398" spans="2:15" x14ac:dyDescent="0.2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</row>
    <row r="399" spans="2:15" x14ac:dyDescent="0.2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</row>
    <row r="400" spans="2:15" x14ac:dyDescent="0.2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</row>
    <row r="401" spans="2:15" x14ac:dyDescent="0.2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</row>
    <row r="402" spans="2:15" x14ac:dyDescent="0.2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</row>
    <row r="403" spans="2:15" x14ac:dyDescent="0.2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</row>
    <row r="404" spans="2:15" x14ac:dyDescent="0.2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</row>
    <row r="405" spans="2:15" x14ac:dyDescent="0.2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</row>
    <row r="406" spans="2:15" x14ac:dyDescent="0.2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</row>
    <row r="407" spans="2:15" x14ac:dyDescent="0.2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</row>
    <row r="408" spans="2:15" x14ac:dyDescent="0.2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</row>
    <row r="409" spans="2:15" x14ac:dyDescent="0.2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</row>
    <row r="410" spans="2:15" x14ac:dyDescent="0.2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</row>
    <row r="411" spans="2:15" x14ac:dyDescent="0.2"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</row>
    <row r="412" spans="2:15" x14ac:dyDescent="0.2"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</row>
    <row r="413" spans="2:15" x14ac:dyDescent="0.2"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</row>
    <row r="414" spans="2:15" x14ac:dyDescent="0.2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</row>
    <row r="415" spans="2:15" x14ac:dyDescent="0.2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</row>
    <row r="416" spans="2:15" x14ac:dyDescent="0.2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</row>
    <row r="417" spans="2:15" x14ac:dyDescent="0.2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</row>
    <row r="418" spans="2:15" x14ac:dyDescent="0.2"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</row>
    <row r="419" spans="2:15" x14ac:dyDescent="0.2"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</row>
    <row r="420" spans="2:15" x14ac:dyDescent="0.2"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</row>
    <row r="421" spans="2:15" x14ac:dyDescent="0.2"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</row>
    <row r="422" spans="2:15" x14ac:dyDescent="0.2"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</row>
    <row r="423" spans="2:15" x14ac:dyDescent="0.2"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</row>
    <row r="424" spans="2:15" x14ac:dyDescent="0.2"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</row>
    <row r="425" spans="2:15" x14ac:dyDescent="0.2"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</row>
    <row r="426" spans="2:15" x14ac:dyDescent="0.2"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</row>
    <row r="427" spans="2:15" x14ac:dyDescent="0.2"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</row>
    <row r="428" spans="2:15" x14ac:dyDescent="0.2"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</row>
    <row r="429" spans="2:15" x14ac:dyDescent="0.2"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</row>
    <row r="430" spans="2:15" x14ac:dyDescent="0.2"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</row>
    <row r="431" spans="2:15" x14ac:dyDescent="0.2"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</row>
    <row r="432" spans="2:15" x14ac:dyDescent="0.2"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</row>
    <row r="433" spans="2:15" x14ac:dyDescent="0.2"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</row>
    <row r="434" spans="2:15" x14ac:dyDescent="0.2"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</row>
    <row r="435" spans="2:15" x14ac:dyDescent="0.2"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</row>
    <row r="436" spans="2:15" x14ac:dyDescent="0.2"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</row>
    <row r="437" spans="2:15" x14ac:dyDescent="0.2"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</row>
    <row r="438" spans="2:15" x14ac:dyDescent="0.2"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</row>
    <row r="439" spans="2:15" x14ac:dyDescent="0.2"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</row>
    <row r="440" spans="2:15" x14ac:dyDescent="0.2"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</row>
    <row r="441" spans="2:15" x14ac:dyDescent="0.2"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</row>
    <row r="442" spans="2:15" x14ac:dyDescent="0.2"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</row>
    <row r="443" spans="2:15" x14ac:dyDescent="0.2"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</row>
    <row r="444" spans="2:15" x14ac:dyDescent="0.2"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</row>
    <row r="445" spans="2:15" x14ac:dyDescent="0.2"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</row>
    <row r="446" spans="2:15" x14ac:dyDescent="0.2"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</row>
    <row r="447" spans="2:15" x14ac:dyDescent="0.2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</row>
    <row r="448" spans="2:15" x14ac:dyDescent="0.2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</row>
    <row r="449" spans="2:15" x14ac:dyDescent="0.2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</row>
    <row r="450" spans="2:15" x14ac:dyDescent="0.2"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</row>
    <row r="451" spans="2:15" x14ac:dyDescent="0.2"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</row>
    <row r="452" spans="2:15" x14ac:dyDescent="0.2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</row>
    <row r="453" spans="2:15" x14ac:dyDescent="0.2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</row>
    <row r="454" spans="2:15" x14ac:dyDescent="0.2"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</row>
    <row r="455" spans="2:15" x14ac:dyDescent="0.2"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</row>
    <row r="456" spans="2:15" x14ac:dyDescent="0.2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</row>
    <row r="457" spans="2:15" x14ac:dyDescent="0.2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</row>
    <row r="458" spans="2:15" x14ac:dyDescent="0.2"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</row>
    <row r="459" spans="2:15" x14ac:dyDescent="0.2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</row>
    <row r="460" spans="2:15" x14ac:dyDescent="0.2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</row>
    <row r="461" spans="2:15" x14ac:dyDescent="0.2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</row>
    <row r="462" spans="2:15" x14ac:dyDescent="0.2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</row>
    <row r="463" spans="2:15" x14ac:dyDescent="0.2"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</row>
    <row r="464" spans="2:15" x14ac:dyDescent="0.2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</row>
    <row r="465" spans="2:15" x14ac:dyDescent="0.2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</row>
    <row r="466" spans="2:15" x14ac:dyDescent="0.2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</row>
    <row r="467" spans="2:15" x14ac:dyDescent="0.2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</row>
    <row r="468" spans="2:15" x14ac:dyDescent="0.2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</row>
    <row r="469" spans="2:15" x14ac:dyDescent="0.2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</row>
    <row r="470" spans="2:15" x14ac:dyDescent="0.2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</row>
    <row r="471" spans="2:15" x14ac:dyDescent="0.2"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</row>
    <row r="472" spans="2:15" x14ac:dyDescent="0.2"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</row>
    <row r="473" spans="2:15" x14ac:dyDescent="0.2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</row>
    <row r="474" spans="2:15" x14ac:dyDescent="0.2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</row>
    <row r="475" spans="2:15" x14ac:dyDescent="0.2"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</row>
    <row r="476" spans="2:15" x14ac:dyDescent="0.2"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</row>
    <row r="477" spans="2:15" x14ac:dyDescent="0.2"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</row>
    <row r="478" spans="2:15" x14ac:dyDescent="0.2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</row>
    <row r="479" spans="2:15" x14ac:dyDescent="0.2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</row>
    <row r="480" spans="2:15" x14ac:dyDescent="0.2"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</row>
    <row r="481" spans="2:15" x14ac:dyDescent="0.2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</row>
    <row r="482" spans="2:15" x14ac:dyDescent="0.2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</row>
    <row r="483" spans="2:15" x14ac:dyDescent="0.2"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</row>
    <row r="484" spans="2:15" x14ac:dyDescent="0.2"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</row>
    <row r="485" spans="2:15" x14ac:dyDescent="0.2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</row>
    <row r="486" spans="2:15" x14ac:dyDescent="0.2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</row>
    <row r="487" spans="2:15" x14ac:dyDescent="0.2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</row>
    <row r="488" spans="2:15" x14ac:dyDescent="0.2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</row>
    <row r="489" spans="2:15" x14ac:dyDescent="0.2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</row>
    <row r="490" spans="2:15" x14ac:dyDescent="0.2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</row>
    <row r="491" spans="2:15" x14ac:dyDescent="0.2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</row>
    <row r="492" spans="2:15" x14ac:dyDescent="0.2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</row>
    <row r="493" spans="2:15" x14ac:dyDescent="0.2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</row>
    <row r="494" spans="2:15" x14ac:dyDescent="0.2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</row>
    <row r="495" spans="2:15" x14ac:dyDescent="0.2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</row>
    <row r="496" spans="2:15" x14ac:dyDescent="0.2"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</row>
    <row r="497" spans="2:15" x14ac:dyDescent="0.2"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</row>
    <row r="498" spans="2:15" x14ac:dyDescent="0.2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</row>
    <row r="499" spans="2:15" x14ac:dyDescent="0.2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</row>
    <row r="500" spans="2:15" x14ac:dyDescent="0.2"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</row>
    <row r="501" spans="2:15" x14ac:dyDescent="0.2"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</row>
    <row r="502" spans="2:15" x14ac:dyDescent="0.2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</row>
    <row r="503" spans="2:15" x14ac:dyDescent="0.2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</row>
    <row r="504" spans="2:15" x14ac:dyDescent="0.2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</row>
    <row r="505" spans="2:15" x14ac:dyDescent="0.2"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</row>
    <row r="506" spans="2:15" x14ac:dyDescent="0.2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</row>
    <row r="507" spans="2:15" x14ac:dyDescent="0.2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</row>
    <row r="508" spans="2:15" x14ac:dyDescent="0.2"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</row>
    <row r="509" spans="2:15" x14ac:dyDescent="0.2"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</row>
    <row r="510" spans="2:15" x14ac:dyDescent="0.2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</row>
    <row r="511" spans="2:15" x14ac:dyDescent="0.2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</row>
    <row r="512" spans="2:15" x14ac:dyDescent="0.2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</row>
    <row r="513" spans="2:15" x14ac:dyDescent="0.2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</row>
    <row r="514" spans="2:15" x14ac:dyDescent="0.2"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</row>
    <row r="515" spans="2:15" x14ac:dyDescent="0.2"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</row>
    <row r="516" spans="2:15" x14ac:dyDescent="0.2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</row>
    <row r="517" spans="2:15" x14ac:dyDescent="0.2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</row>
    <row r="518" spans="2:15" x14ac:dyDescent="0.2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</row>
    <row r="519" spans="2:15" x14ac:dyDescent="0.2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</row>
    <row r="520" spans="2:15" x14ac:dyDescent="0.2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</row>
    <row r="521" spans="2:15" x14ac:dyDescent="0.2"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</row>
    <row r="522" spans="2:15" x14ac:dyDescent="0.2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</row>
    <row r="523" spans="2:15" x14ac:dyDescent="0.2"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</row>
    <row r="524" spans="2:15" x14ac:dyDescent="0.2"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</row>
    <row r="525" spans="2:15" x14ac:dyDescent="0.2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</row>
    <row r="526" spans="2:15" x14ac:dyDescent="0.2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</row>
    <row r="527" spans="2:15" x14ac:dyDescent="0.2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</row>
    <row r="528" spans="2:15" x14ac:dyDescent="0.2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</row>
    <row r="529" spans="2:15" x14ac:dyDescent="0.2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</row>
    <row r="530" spans="2:15" x14ac:dyDescent="0.2"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</row>
    <row r="531" spans="2:15" x14ac:dyDescent="0.2"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</row>
    <row r="532" spans="2:15" x14ac:dyDescent="0.2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</row>
    <row r="533" spans="2:15" x14ac:dyDescent="0.2"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</row>
    <row r="534" spans="2:15" x14ac:dyDescent="0.2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</row>
    <row r="535" spans="2:15" x14ac:dyDescent="0.2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</row>
    <row r="536" spans="2:15" x14ac:dyDescent="0.2"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</row>
    <row r="537" spans="2:15" x14ac:dyDescent="0.2"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</row>
    <row r="538" spans="2:15" x14ac:dyDescent="0.2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</row>
    <row r="539" spans="2:15" x14ac:dyDescent="0.2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</row>
    <row r="540" spans="2:15" x14ac:dyDescent="0.2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</row>
    <row r="541" spans="2:15" x14ac:dyDescent="0.2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</row>
    <row r="542" spans="2:15" x14ac:dyDescent="0.2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</row>
    <row r="543" spans="2:15" x14ac:dyDescent="0.2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</row>
    <row r="544" spans="2:15" x14ac:dyDescent="0.2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</row>
    <row r="545" spans="2:15" x14ac:dyDescent="0.2"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</row>
    <row r="546" spans="2:15" x14ac:dyDescent="0.2"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</row>
    <row r="547" spans="2:15" x14ac:dyDescent="0.2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</row>
    <row r="548" spans="2:15" x14ac:dyDescent="0.2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</row>
    <row r="549" spans="2:15" x14ac:dyDescent="0.2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</row>
    <row r="550" spans="2:15" x14ac:dyDescent="0.2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</row>
    <row r="551" spans="2:15" x14ac:dyDescent="0.2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</row>
    <row r="552" spans="2:15" x14ac:dyDescent="0.2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</row>
    <row r="553" spans="2:15" x14ac:dyDescent="0.2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</row>
    <row r="554" spans="2:15" x14ac:dyDescent="0.2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</row>
    <row r="555" spans="2:15" x14ac:dyDescent="0.2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</row>
    <row r="556" spans="2:15" x14ac:dyDescent="0.2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</row>
    <row r="557" spans="2:15" x14ac:dyDescent="0.2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</row>
    <row r="558" spans="2:15" x14ac:dyDescent="0.2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</row>
    <row r="559" spans="2:15" x14ac:dyDescent="0.2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</row>
    <row r="560" spans="2:15" x14ac:dyDescent="0.2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</row>
    <row r="561" spans="2:15" x14ac:dyDescent="0.2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</row>
    <row r="562" spans="2:15" x14ac:dyDescent="0.2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</row>
    <row r="563" spans="2:15" x14ac:dyDescent="0.2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</row>
    <row r="564" spans="2:15" x14ac:dyDescent="0.2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</row>
    <row r="565" spans="2:15" x14ac:dyDescent="0.2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</row>
    <row r="566" spans="2:15" x14ac:dyDescent="0.2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</row>
    <row r="567" spans="2:15" x14ac:dyDescent="0.2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</row>
    <row r="568" spans="2:15" x14ac:dyDescent="0.2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</row>
    <row r="569" spans="2:15" x14ac:dyDescent="0.2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</row>
    <row r="570" spans="2:15" x14ac:dyDescent="0.2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</row>
    <row r="571" spans="2:15" x14ac:dyDescent="0.2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</row>
    <row r="572" spans="2:15" x14ac:dyDescent="0.2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</row>
    <row r="573" spans="2:15" x14ac:dyDescent="0.2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</row>
    <row r="574" spans="2:15" x14ac:dyDescent="0.2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</row>
    <row r="575" spans="2:15" x14ac:dyDescent="0.2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</row>
    <row r="576" spans="2:15" x14ac:dyDescent="0.2"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</row>
    <row r="577" spans="2:15" x14ac:dyDescent="0.2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</row>
    <row r="578" spans="2:15" x14ac:dyDescent="0.2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</row>
    <row r="579" spans="2:15" x14ac:dyDescent="0.2"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</row>
    <row r="580" spans="2:15" x14ac:dyDescent="0.2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</row>
    <row r="581" spans="2:15" x14ac:dyDescent="0.2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</row>
    <row r="582" spans="2:15" x14ac:dyDescent="0.2"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</row>
    <row r="583" spans="2:15" x14ac:dyDescent="0.2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</row>
    <row r="584" spans="2:15" x14ac:dyDescent="0.2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</row>
    <row r="585" spans="2:15" x14ac:dyDescent="0.2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</row>
    <row r="586" spans="2:15" x14ac:dyDescent="0.2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</row>
    <row r="587" spans="2:15" x14ac:dyDescent="0.2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</row>
    <row r="588" spans="2:15" x14ac:dyDescent="0.2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</row>
    <row r="589" spans="2:15" x14ac:dyDescent="0.2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</row>
    <row r="590" spans="2:15" x14ac:dyDescent="0.2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</row>
    <row r="591" spans="2:15" x14ac:dyDescent="0.2"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</row>
    <row r="592" spans="2:15" x14ac:dyDescent="0.2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</row>
    <row r="593" spans="2:15" x14ac:dyDescent="0.2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</row>
    <row r="594" spans="2:15" x14ac:dyDescent="0.2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</row>
    <row r="595" spans="2:15" x14ac:dyDescent="0.2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</row>
    <row r="596" spans="2:15" x14ac:dyDescent="0.2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</row>
    <row r="597" spans="2:15" x14ac:dyDescent="0.2"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</row>
    <row r="598" spans="2:15" x14ac:dyDescent="0.2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</row>
    <row r="599" spans="2:15" x14ac:dyDescent="0.2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</row>
    <row r="600" spans="2:15" x14ac:dyDescent="0.2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</row>
    <row r="601" spans="2:15" x14ac:dyDescent="0.2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</row>
    <row r="602" spans="2:15" x14ac:dyDescent="0.2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</row>
    <row r="603" spans="2:15" x14ac:dyDescent="0.2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</row>
    <row r="604" spans="2:15" x14ac:dyDescent="0.2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</row>
    <row r="605" spans="2:15" x14ac:dyDescent="0.2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</row>
    <row r="606" spans="2:15" x14ac:dyDescent="0.2"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</row>
    <row r="607" spans="2:15" x14ac:dyDescent="0.2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</row>
    <row r="608" spans="2:15" x14ac:dyDescent="0.2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</row>
    <row r="609" spans="2:15" x14ac:dyDescent="0.2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</row>
    <row r="610" spans="2:15" x14ac:dyDescent="0.2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</row>
    <row r="611" spans="2:15" x14ac:dyDescent="0.2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</row>
    <row r="612" spans="2:15" x14ac:dyDescent="0.2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</row>
    <row r="613" spans="2:15" x14ac:dyDescent="0.2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</row>
    <row r="614" spans="2:15" x14ac:dyDescent="0.2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</row>
    <row r="615" spans="2:15" x14ac:dyDescent="0.2"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</row>
    <row r="616" spans="2:15" x14ac:dyDescent="0.2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</row>
    <row r="617" spans="2:15" x14ac:dyDescent="0.2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</row>
    <row r="618" spans="2:15" x14ac:dyDescent="0.2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</row>
    <row r="619" spans="2:15" x14ac:dyDescent="0.2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</row>
    <row r="620" spans="2:15" x14ac:dyDescent="0.2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</row>
    <row r="621" spans="2:15" x14ac:dyDescent="0.2"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</row>
    <row r="622" spans="2:15" x14ac:dyDescent="0.2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</row>
    <row r="623" spans="2:15" x14ac:dyDescent="0.2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</row>
    <row r="624" spans="2:15" x14ac:dyDescent="0.2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</row>
    <row r="625" spans="2:15" x14ac:dyDescent="0.2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</row>
    <row r="626" spans="2:15" x14ac:dyDescent="0.2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</row>
    <row r="627" spans="2:15" x14ac:dyDescent="0.2"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</row>
    <row r="628" spans="2:15" x14ac:dyDescent="0.2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</row>
    <row r="629" spans="2:15" x14ac:dyDescent="0.2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</row>
    <row r="630" spans="2:15" x14ac:dyDescent="0.2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</row>
    <row r="631" spans="2:15" x14ac:dyDescent="0.2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</row>
    <row r="632" spans="2:15" x14ac:dyDescent="0.2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</row>
    <row r="633" spans="2:15" x14ac:dyDescent="0.2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</row>
    <row r="634" spans="2:15" x14ac:dyDescent="0.2"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</row>
    <row r="635" spans="2:15" x14ac:dyDescent="0.2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</row>
    <row r="636" spans="2:15" x14ac:dyDescent="0.2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</row>
    <row r="637" spans="2:15" x14ac:dyDescent="0.2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</row>
    <row r="638" spans="2:15" x14ac:dyDescent="0.2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</row>
    <row r="639" spans="2:15" x14ac:dyDescent="0.2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</row>
    <row r="640" spans="2:15" x14ac:dyDescent="0.2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</row>
    <row r="641" spans="2:15" x14ac:dyDescent="0.2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</row>
    <row r="642" spans="2:15" x14ac:dyDescent="0.2"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</row>
    <row r="643" spans="2:15" x14ac:dyDescent="0.2"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</row>
    <row r="644" spans="2:15" x14ac:dyDescent="0.2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</row>
    <row r="645" spans="2:15" x14ac:dyDescent="0.2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</row>
    <row r="646" spans="2:15" x14ac:dyDescent="0.2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</row>
    <row r="647" spans="2:15" x14ac:dyDescent="0.2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</row>
    <row r="648" spans="2:15" x14ac:dyDescent="0.2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</row>
    <row r="649" spans="2:15" x14ac:dyDescent="0.2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</row>
    <row r="650" spans="2:15" x14ac:dyDescent="0.2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</row>
    <row r="651" spans="2:15" x14ac:dyDescent="0.2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</row>
    <row r="652" spans="2:15" x14ac:dyDescent="0.2"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</row>
    <row r="653" spans="2:15" x14ac:dyDescent="0.2"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</row>
    <row r="654" spans="2:15" x14ac:dyDescent="0.2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</row>
    <row r="655" spans="2:15" x14ac:dyDescent="0.2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</row>
    <row r="656" spans="2:15" x14ac:dyDescent="0.2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</row>
    <row r="657" spans="2:15" x14ac:dyDescent="0.2"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</row>
    <row r="658" spans="2:15" x14ac:dyDescent="0.2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</row>
    <row r="659" spans="2:15" x14ac:dyDescent="0.2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</row>
    <row r="660" spans="2:15" x14ac:dyDescent="0.2"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</row>
    <row r="661" spans="2:15" x14ac:dyDescent="0.2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</row>
    <row r="662" spans="2:15" x14ac:dyDescent="0.2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</row>
    <row r="663" spans="2:15" x14ac:dyDescent="0.2"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</row>
    <row r="664" spans="2:15" x14ac:dyDescent="0.2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</row>
    <row r="665" spans="2:15" x14ac:dyDescent="0.2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</row>
    <row r="666" spans="2:15" x14ac:dyDescent="0.2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</row>
    <row r="667" spans="2:15" x14ac:dyDescent="0.2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</row>
    <row r="668" spans="2:15" x14ac:dyDescent="0.2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</row>
    <row r="669" spans="2:15" x14ac:dyDescent="0.2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</row>
    <row r="670" spans="2:15" x14ac:dyDescent="0.2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</row>
    <row r="671" spans="2:15" x14ac:dyDescent="0.2"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</row>
    <row r="672" spans="2:15" x14ac:dyDescent="0.2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</row>
    <row r="673" spans="2:15" x14ac:dyDescent="0.2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</row>
    <row r="674" spans="2:15" x14ac:dyDescent="0.2"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</row>
    <row r="675" spans="2:15" x14ac:dyDescent="0.2"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</row>
    <row r="676" spans="2:15" x14ac:dyDescent="0.2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</row>
    <row r="677" spans="2:15" x14ac:dyDescent="0.2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</row>
    <row r="678" spans="2:15" x14ac:dyDescent="0.2"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</row>
    <row r="679" spans="2:15" x14ac:dyDescent="0.2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</row>
    <row r="680" spans="2:15" x14ac:dyDescent="0.2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</row>
    <row r="681" spans="2:15" x14ac:dyDescent="0.2"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</row>
    <row r="682" spans="2:15" x14ac:dyDescent="0.2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</row>
    <row r="683" spans="2:15" x14ac:dyDescent="0.2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</row>
    <row r="684" spans="2:15" x14ac:dyDescent="0.2"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</row>
    <row r="685" spans="2:15" x14ac:dyDescent="0.2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</row>
    <row r="686" spans="2:15" x14ac:dyDescent="0.2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</row>
    <row r="687" spans="2:15" x14ac:dyDescent="0.2"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</row>
    <row r="688" spans="2:15" x14ac:dyDescent="0.2"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</row>
    <row r="689" spans="2:15" x14ac:dyDescent="0.2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</row>
    <row r="690" spans="2:15" x14ac:dyDescent="0.2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</row>
    <row r="691" spans="2:15" x14ac:dyDescent="0.2"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</row>
    <row r="692" spans="2:15" x14ac:dyDescent="0.2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</row>
    <row r="693" spans="2:15" x14ac:dyDescent="0.2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</row>
    <row r="694" spans="2:15" x14ac:dyDescent="0.2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</row>
    <row r="695" spans="2:15" x14ac:dyDescent="0.2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</row>
    <row r="696" spans="2:15" x14ac:dyDescent="0.2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</row>
    <row r="697" spans="2:15" x14ac:dyDescent="0.2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</row>
    <row r="698" spans="2:15" x14ac:dyDescent="0.2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</row>
    <row r="699" spans="2:15" x14ac:dyDescent="0.2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</row>
    <row r="700" spans="2:15" x14ac:dyDescent="0.2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</row>
    <row r="701" spans="2:15" x14ac:dyDescent="0.2"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</row>
    <row r="702" spans="2:15" x14ac:dyDescent="0.2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</row>
    <row r="703" spans="2:15" x14ac:dyDescent="0.2"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</row>
    <row r="704" spans="2:15" x14ac:dyDescent="0.2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</row>
    <row r="705" spans="2:15" x14ac:dyDescent="0.2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</row>
    <row r="706" spans="2:15" x14ac:dyDescent="0.2"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</row>
    <row r="707" spans="2:15" x14ac:dyDescent="0.2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</row>
    <row r="708" spans="2:15" x14ac:dyDescent="0.2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</row>
    <row r="709" spans="2:15" x14ac:dyDescent="0.2"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</row>
    <row r="710" spans="2:15" x14ac:dyDescent="0.2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</row>
    <row r="711" spans="2:15" x14ac:dyDescent="0.2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</row>
    <row r="712" spans="2:15" x14ac:dyDescent="0.2"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</row>
    <row r="713" spans="2:15" x14ac:dyDescent="0.2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</row>
    <row r="714" spans="2:15" x14ac:dyDescent="0.2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</row>
    <row r="715" spans="2:15" x14ac:dyDescent="0.2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</row>
    <row r="716" spans="2:15" x14ac:dyDescent="0.2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</row>
    <row r="717" spans="2:15" x14ac:dyDescent="0.2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</row>
    <row r="718" spans="2:15" x14ac:dyDescent="0.2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</row>
    <row r="719" spans="2:15" x14ac:dyDescent="0.2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</row>
    <row r="720" spans="2:15" x14ac:dyDescent="0.2"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</row>
    <row r="721" spans="2:15" x14ac:dyDescent="0.2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</row>
    <row r="722" spans="2:15" x14ac:dyDescent="0.2"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</row>
    <row r="723" spans="2:15" x14ac:dyDescent="0.2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</row>
    <row r="724" spans="2:15" x14ac:dyDescent="0.2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</row>
    <row r="725" spans="2:15" x14ac:dyDescent="0.2"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</row>
    <row r="726" spans="2:15" x14ac:dyDescent="0.2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</row>
    <row r="727" spans="2:15" x14ac:dyDescent="0.2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</row>
    <row r="728" spans="2:15" x14ac:dyDescent="0.2"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</row>
    <row r="729" spans="2:15" x14ac:dyDescent="0.2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</row>
    <row r="730" spans="2:15" x14ac:dyDescent="0.2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</row>
    <row r="731" spans="2:15" x14ac:dyDescent="0.2"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</row>
    <row r="732" spans="2:15" x14ac:dyDescent="0.2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</row>
    <row r="733" spans="2:15" x14ac:dyDescent="0.2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</row>
    <row r="734" spans="2:15" x14ac:dyDescent="0.2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</row>
    <row r="735" spans="2:15" x14ac:dyDescent="0.2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</row>
    <row r="736" spans="2:15" x14ac:dyDescent="0.2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</row>
    <row r="737" spans="2:15" x14ac:dyDescent="0.2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</row>
    <row r="738" spans="2:15" x14ac:dyDescent="0.2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</row>
    <row r="739" spans="2:15" x14ac:dyDescent="0.2"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</row>
    <row r="740" spans="2:15" x14ac:dyDescent="0.2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</row>
    <row r="741" spans="2:15" x14ac:dyDescent="0.2"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</row>
    <row r="742" spans="2:15" x14ac:dyDescent="0.2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</row>
    <row r="743" spans="2:15" x14ac:dyDescent="0.2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</row>
    <row r="744" spans="2:15" x14ac:dyDescent="0.2"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</row>
    <row r="745" spans="2:15" x14ac:dyDescent="0.2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</row>
    <row r="746" spans="2:15" x14ac:dyDescent="0.2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</row>
    <row r="747" spans="2:15" x14ac:dyDescent="0.2"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</row>
    <row r="748" spans="2:15" x14ac:dyDescent="0.2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</row>
    <row r="749" spans="2:15" x14ac:dyDescent="0.2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</row>
    <row r="750" spans="2:15" x14ac:dyDescent="0.2"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</row>
    <row r="751" spans="2:15" x14ac:dyDescent="0.2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</row>
    <row r="752" spans="2:15" x14ac:dyDescent="0.2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</row>
    <row r="753" spans="2:15" x14ac:dyDescent="0.2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</row>
    <row r="754" spans="2:15" x14ac:dyDescent="0.2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</row>
    <row r="755" spans="2:15" x14ac:dyDescent="0.2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</row>
    <row r="756" spans="2:15" x14ac:dyDescent="0.2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</row>
    <row r="757" spans="2:15" x14ac:dyDescent="0.2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</row>
    <row r="758" spans="2:15" x14ac:dyDescent="0.2"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</row>
    <row r="759" spans="2:15" x14ac:dyDescent="0.2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</row>
    <row r="760" spans="2:15" x14ac:dyDescent="0.2"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</row>
    <row r="761" spans="2:15" x14ac:dyDescent="0.2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</row>
    <row r="762" spans="2:15" x14ac:dyDescent="0.2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</row>
    <row r="763" spans="2:15" x14ac:dyDescent="0.2"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</row>
    <row r="764" spans="2:15" x14ac:dyDescent="0.2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</row>
    <row r="765" spans="2:15" x14ac:dyDescent="0.2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</row>
    <row r="766" spans="2:15" x14ac:dyDescent="0.2"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</row>
    <row r="767" spans="2:15" x14ac:dyDescent="0.2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</row>
    <row r="768" spans="2:15" x14ac:dyDescent="0.2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</row>
    <row r="769" spans="2:15" x14ac:dyDescent="0.2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</row>
    <row r="770" spans="2:15" x14ac:dyDescent="0.2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</row>
    <row r="771" spans="2:15" x14ac:dyDescent="0.2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</row>
    <row r="772" spans="2:15" x14ac:dyDescent="0.2"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</row>
    <row r="773" spans="2:15" x14ac:dyDescent="0.2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</row>
    <row r="774" spans="2:15" x14ac:dyDescent="0.2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</row>
    <row r="775" spans="2:15" x14ac:dyDescent="0.2"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</row>
    <row r="776" spans="2:15" x14ac:dyDescent="0.2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</row>
    <row r="777" spans="2:15" x14ac:dyDescent="0.2"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</row>
    <row r="778" spans="2:15" x14ac:dyDescent="0.2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</row>
    <row r="779" spans="2:15" x14ac:dyDescent="0.2"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</row>
    <row r="780" spans="2:15" x14ac:dyDescent="0.2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</row>
    <row r="781" spans="2:15" x14ac:dyDescent="0.2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</row>
    <row r="782" spans="2:15" x14ac:dyDescent="0.2"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</row>
    <row r="783" spans="2:15" x14ac:dyDescent="0.2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</row>
    <row r="784" spans="2:15" x14ac:dyDescent="0.2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</row>
    <row r="785" spans="2:15" x14ac:dyDescent="0.2"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</row>
    <row r="786" spans="2:15" x14ac:dyDescent="0.2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</row>
    <row r="787" spans="2:15" x14ac:dyDescent="0.2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</row>
    <row r="788" spans="2:15" x14ac:dyDescent="0.2"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</row>
    <row r="789" spans="2:15" x14ac:dyDescent="0.2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</row>
    <row r="790" spans="2:15" x14ac:dyDescent="0.2"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</row>
    <row r="791" spans="2:15" x14ac:dyDescent="0.2"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</row>
    <row r="792" spans="2:15" x14ac:dyDescent="0.2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</row>
    <row r="793" spans="2:15" x14ac:dyDescent="0.2"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</row>
    <row r="794" spans="2:15" x14ac:dyDescent="0.2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</row>
    <row r="795" spans="2:15" x14ac:dyDescent="0.2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</row>
    <row r="796" spans="2:15" x14ac:dyDescent="0.2"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</row>
    <row r="797" spans="2:15" x14ac:dyDescent="0.2"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</row>
    <row r="798" spans="2:15" x14ac:dyDescent="0.2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</row>
    <row r="799" spans="2:15" x14ac:dyDescent="0.2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</row>
    <row r="800" spans="2:15" x14ac:dyDescent="0.2"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</row>
    <row r="801" spans="2:15" x14ac:dyDescent="0.2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</row>
    <row r="802" spans="2:15" x14ac:dyDescent="0.2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</row>
    <row r="803" spans="2:15" x14ac:dyDescent="0.2"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</row>
    <row r="804" spans="2:15" x14ac:dyDescent="0.2"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</row>
    <row r="805" spans="2:15" x14ac:dyDescent="0.2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</row>
    <row r="806" spans="2:15" x14ac:dyDescent="0.2"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</row>
    <row r="807" spans="2:15" x14ac:dyDescent="0.2"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</row>
    <row r="808" spans="2:15" x14ac:dyDescent="0.2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</row>
    <row r="809" spans="2:15" x14ac:dyDescent="0.2"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</row>
    <row r="810" spans="2:15" x14ac:dyDescent="0.2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</row>
    <row r="811" spans="2:15" x14ac:dyDescent="0.2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</row>
    <row r="812" spans="2:15" x14ac:dyDescent="0.2"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</row>
    <row r="813" spans="2:15" x14ac:dyDescent="0.2"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</row>
    <row r="814" spans="2:15" x14ac:dyDescent="0.2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</row>
    <row r="815" spans="2:15" x14ac:dyDescent="0.2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</row>
    <row r="816" spans="2:15" x14ac:dyDescent="0.2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</row>
    <row r="817" spans="2:15" x14ac:dyDescent="0.2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</row>
    <row r="818" spans="2:15" x14ac:dyDescent="0.2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</row>
    <row r="819" spans="2:15" x14ac:dyDescent="0.2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</row>
    <row r="820" spans="2:15" x14ac:dyDescent="0.2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</row>
    <row r="821" spans="2:15" x14ac:dyDescent="0.2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</row>
    <row r="822" spans="2:15" x14ac:dyDescent="0.2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</row>
    <row r="823" spans="2:15" x14ac:dyDescent="0.2"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</row>
    <row r="824" spans="2:15" x14ac:dyDescent="0.2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</row>
    <row r="825" spans="2:15" x14ac:dyDescent="0.2"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</row>
    <row r="826" spans="2:15" x14ac:dyDescent="0.2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</row>
    <row r="827" spans="2:15" x14ac:dyDescent="0.2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</row>
    <row r="828" spans="2:15" x14ac:dyDescent="0.2"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</row>
    <row r="829" spans="2:15" x14ac:dyDescent="0.2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</row>
    <row r="830" spans="2:15" x14ac:dyDescent="0.2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</row>
    <row r="831" spans="2:15" x14ac:dyDescent="0.2"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</row>
    <row r="832" spans="2:15" x14ac:dyDescent="0.2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</row>
    <row r="833" spans="2:15" x14ac:dyDescent="0.2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</row>
    <row r="834" spans="2:15" x14ac:dyDescent="0.2"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</row>
    <row r="835" spans="2:15" x14ac:dyDescent="0.2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</row>
    <row r="836" spans="2:15" x14ac:dyDescent="0.2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</row>
    <row r="837" spans="2:15" x14ac:dyDescent="0.2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</row>
    <row r="838" spans="2:15" x14ac:dyDescent="0.2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</row>
    <row r="839" spans="2:15" x14ac:dyDescent="0.2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</row>
    <row r="840" spans="2:15" x14ac:dyDescent="0.2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</row>
    <row r="841" spans="2:15" x14ac:dyDescent="0.2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</row>
    <row r="842" spans="2:15" x14ac:dyDescent="0.2"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</row>
    <row r="843" spans="2:15" x14ac:dyDescent="0.2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</row>
    <row r="844" spans="2:15" x14ac:dyDescent="0.2"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</row>
    <row r="845" spans="2:15" x14ac:dyDescent="0.2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</row>
    <row r="846" spans="2:15" x14ac:dyDescent="0.2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</row>
    <row r="847" spans="2:15" x14ac:dyDescent="0.2"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</row>
    <row r="848" spans="2:15" x14ac:dyDescent="0.2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</row>
    <row r="849" spans="2:15" x14ac:dyDescent="0.2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</row>
    <row r="850" spans="2:15" x14ac:dyDescent="0.2"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</row>
    <row r="851" spans="2:15" x14ac:dyDescent="0.2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</row>
    <row r="852" spans="2:15" x14ac:dyDescent="0.2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</row>
    <row r="853" spans="2:15" x14ac:dyDescent="0.2"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</row>
    <row r="854" spans="2:15" x14ac:dyDescent="0.2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</row>
    <row r="855" spans="2:15" x14ac:dyDescent="0.2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</row>
    <row r="856" spans="2:15" x14ac:dyDescent="0.2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</row>
    <row r="857" spans="2:15" x14ac:dyDescent="0.2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</row>
    <row r="858" spans="2:15" x14ac:dyDescent="0.2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</row>
    <row r="859" spans="2:15" x14ac:dyDescent="0.2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</row>
    <row r="860" spans="2:15" x14ac:dyDescent="0.2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</row>
    <row r="861" spans="2:15" x14ac:dyDescent="0.2"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</row>
    <row r="862" spans="2:15" x14ac:dyDescent="0.2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</row>
    <row r="863" spans="2:15" x14ac:dyDescent="0.2"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</row>
    <row r="864" spans="2:15" x14ac:dyDescent="0.2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</row>
    <row r="865" spans="2:15" x14ac:dyDescent="0.2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</row>
    <row r="866" spans="2:15" x14ac:dyDescent="0.2"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</row>
    <row r="867" spans="2:15" x14ac:dyDescent="0.2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</row>
    <row r="868" spans="2:15" x14ac:dyDescent="0.2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</row>
    <row r="869" spans="2:15" x14ac:dyDescent="0.2"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</row>
    <row r="870" spans="2:15" x14ac:dyDescent="0.2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</row>
    <row r="871" spans="2:15" x14ac:dyDescent="0.2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</row>
    <row r="872" spans="2:15" x14ac:dyDescent="0.2"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</row>
    <row r="873" spans="2:15" x14ac:dyDescent="0.2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</row>
    <row r="874" spans="2:15" x14ac:dyDescent="0.2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</row>
    <row r="875" spans="2:15" x14ac:dyDescent="0.2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</row>
    <row r="876" spans="2:15" x14ac:dyDescent="0.2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</row>
    <row r="877" spans="2:15" x14ac:dyDescent="0.2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</row>
    <row r="878" spans="2:15" x14ac:dyDescent="0.2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</row>
    <row r="879" spans="2:15" x14ac:dyDescent="0.2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</row>
    <row r="880" spans="2:15" x14ac:dyDescent="0.2"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</row>
    <row r="881" spans="2:15" x14ac:dyDescent="0.2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</row>
    <row r="882" spans="2:15" x14ac:dyDescent="0.2"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</row>
    <row r="883" spans="2:15" x14ac:dyDescent="0.2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</row>
    <row r="884" spans="2:15" x14ac:dyDescent="0.2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</row>
    <row r="885" spans="2:15" x14ac:dyDescent="0.2"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</row>
    <row r="886" spans="2:15" x14ac:dyDescent="0.2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</row>
    <row r="887" spans="2:15" x14ac:dyDescent="0.2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</row>
    <row r="888" spans="2:15" x14ac:dyDescent="0.2"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</row>
    <row r="889" spans="2:15" x14ac:dyDescent="0.2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</row>
    <row r="890" spans="2:15" x14ac:dyDescent="0.2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</row>
    <row r="891" spans="2:15" x14ac:dyDescent="0.2"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</row>
    <row r="892" spans="2:15" x14ac:dyDescent="0.2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</row>
    <row r="893" spans="2:15" x14ac:dyDescent="0.2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</row>
    <row r="894" spans="2:15" x14ac:dyDescent="0.2"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</row>
    <row r="895" spans="2:15" x14ac:dyDescent="0.2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</row>
    <row r="896" spans="2:15" x14ac:dyDescent="0.2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</row>
    <row r="897" spans="2:15" x14ac:dyDescent="0.2"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</row>
    <row r="898" spans="2:15" x14ac:dyDescent="0.2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</row>
    <row r="899" spans="2:15" x14ac:dyDescent="0.2"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</row>
    <row r="900" spans="2:15" x14ac:dyDescent="0.2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</row>
    <row r="901" spans="2:15" x14ac:dyDescent="0.2"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</row>
    <row r="902" spans="2:15" x14ac:dyDescent="0.2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</row>
    <row r="903" spans="2:15" x14ac:dyDescent="0.2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</row>
    <row r="904" spans="2:15" x14ac:dyDescent="0.2"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</row>
    <row r="905" spans="2:15" x14ac:dyDescent="0.2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</row>
    <row r="906" spans="2:15" x14ac:dyDescent="0.2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</row>
    <row r="907" spans="2:15" x14ac:dyDescent="0.2"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</row>
    <row r="908" spans="2:15" x14ac:dyDescent="0.2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</row>
    <row r="909" spans="2:15" x14ac:dyDescent="0.2"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</row>
    <row r="910" spans="2:15" x14ac:dyDescent="0.2"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</row>
    <row r="911" spans="2:15" x14ac:dyDescent="0.2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</row>
    <row r="912" spans="2:15" x14ac:dyDescent="0.2"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</row>
    <row r="913" spans="2:15" x14ac:dyDescent="0.2"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</row>
    <row r="914" spans="2:15" x14ac:dyDescent="0.2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</row>
    <row r="915" spans="2:15" x14ac:dyDescent="0.2"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</row>
    <row r="916" spans="2:15" x14ac:dyDescent="0.2"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</row>
    <row r="917" spans="2:15" x14ac:dyDescent="0.2"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</row>
    <row r="918" spans="2:15" x14ac:dyDescent="0.2"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</row>
    <row r="919" spans="2:15" x14ac:dyDescent="0.2"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</row>
    <row r="920" spans="2:15" x14ac:dyDescent="0.2"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</row>
    <row r="921" spans="2:15" x14ac:dyDescent="0.2"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</row>
    <row r="922" spans="2:15" x14ac:dyDescent="0.2"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</row>
    <row r="923" spans="2:15" x14ac:dyDescent="0.2"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</row>
    <row r="924" spans="2:15" x14ac:dyDescent="0.2"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</row>
    <row r="925" spans="2:15" x14ac:dyDescent="0.2"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</row>
    <row r="926" spans="2:15" x14ac:dyDescent="0.2"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</row>
    <row r="927" spans="2:15" x14ac:dyDescent="0.2"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</row>
    <row r="928" spans="2:15" x14ac:dyDescent="0.2"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</row>
    <row r="929" spans="2:15" x14ac:dyDescent="0.2"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</row>
    <row r="930" spans="2:15" x14ac:dyDescent="0.2"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</row>
    <row r="931" spans="2:15" x14ac:dyDescent="0.2"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</row>
    <row r="932" spans="2:15" x14ac:dyDescent="0.2"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</row>
    <row r="933" spans="2:15" x14ac:dyDescent="0.2"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</row>
    <row r="934" spans="2:15" x14ac:dyDescent="0.2"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</row>
    <row r="935" spans="2:15" x14ac:dyDescent="0.2"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</row>
    <row r="936" spans="2:15" x14ac:dyDescent="0.2"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</row>
    <row r="937" spans="2:15" x14ac:dyDescent="0.2"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</row>
    <row r="938" spans="2:15" x14ac:dyDescent="0.2"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</row>
    <row r="939" spans="2:15" x14ac:dyDescent="0.2"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</row>
    <row r="940" spans="2:15" x14ac:dyDescent="0.2"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</row>
    <row r="941" spans="2:15" x14ac:dyDescent="0.2"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</row>
    <row r="942" spans="2:15" x14ac:dyDescent="0.2"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</row>
    <row r="943" spans="2:15" x14ac:dyDescent="0.2"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</row>
    <row r="944" spans="2:15" x14ac:dyDescent="0.2"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</row>
    <row r="945" spans="2:15" x14ac:dyDescent="0.2"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</row>
    <row r="946" spans="2:15" x14ac:dyDescent="0.2"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</row>
    <row r="947" spans="2:15" x14ac:dyDescent="0.2"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</row>
    <row r="948" spans="2:15" x14ac:dyDescent="0.2"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</row>
    <row r="949" spans="2:15" x14ac:dyDescent="0.2"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</row>
    <row r="950" spans="2:15" x14ac:dyDescent="0.2"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</row>
    <row r="951" spans="2:15" x14ac:dyDescent="0.2"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</row>
    <row r="952" spans="2:15" x14ac:dyDescent="0.2"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</row>
    <row r="953" spans="2:15" x14ac:dyDescent="0.2"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</row>
    <row r="954" spans="2:15" x14ac:dyDescent="0.2"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</row>
    <row r="955" spans="2:15" x14ac:dyDescent="0.2"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</row>
    <row r="956" spans="2:15" x14ac:dyDescent="0.2"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</row>
    <row r="957" spans="2:15" x14ac:dyDescent="0.2"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</row>
    <row r="958" spans="2:15" x14ac:dyDescent="0.2"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</row>
    <row r="959" spans="2:15" x14ac:dyDescent="0.2"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</row>
    <row r="960" spans="2:15" x14ac:dyDescent="0.2"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</row>
    <row r="961" spans="2:15" x14ac:dyDescent="0.2"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</row>
    <row r="962" spans="2:15" x14ac:dyDescent="0.2"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</row>
    <row r="963" spans="2:15" x14ac:dyDescent="0.2"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</row>
    <row r="964" spans="2:15" x14ac:dyDescent="0.2"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</row>
    <row r="965" spans="2:15" x14ac:dyDescent="0.2"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</row>
    <row r="966" spans="2:15" x14ac:dyDescent="0.2"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</row>
    <row r="967" spans="2:15" x14ac:dyDescent="0.2"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</row>
    <row r="968" spans="2:15" x14ac:dyDescent="0.2"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</row>
    <row r="969" spans="2:15" x14ac:dyDescent="0.2"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</row>
    <row r="970" spans="2:15" x14ac:dyDescent="0.2"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</row>
    <row r="971" spans="2:15" x14ac:dyDescent="0.2"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</row>
    <row r="972" spans="2:15" x14ac:dyDescent="0.2"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</row>
    <row r="973" spans="2:15" x14ac:dyDescent="0.2"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</row>
    <row r="974" spans="2:15" x14ac:dyDescent="0.2"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</row>
    <row r="975" spans="2:15" x14ac:dyDescent="0.2"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</row>
    <row r="976" spans="2:15" x14ac:dyDescent="0.2"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</row>
    <row r="977" spans="2:15" x14ac:dyDescent="0.2"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</row>
    <row r="978" spans="2:15" x14ac:dyDescent="0.2"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</row>
    <row r="979" spans="2:15" x14ac:dyDescent="0.2"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</row>
    <row r="980" spans="2:15" x14ac:dyDescent="0.2"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</row>
    <row r="981" spans="2:15" x14ac:dyDescent="0.2"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</row>
    <row r="982" spans="2:15" x14ac:dyDescent="0.2"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</row>
    <row r="983" spans="2:15" x14ac:dyDescent="0.2"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</row>
    <row r="984" spans="2:15" x14ac:dyDescent="0.2"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</row>
    <row r="985" spans="2:15" x14ac:dyDescent="0.2"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</row>
    <row r="986" spans="2:15" x14ac:dyDescent="0.2"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</row>
    <row r="987" spans="2:15" x14ac:dyDescent="0.2"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</row>
    <row r="988" spans="2:15" x14ac:dyDescent="0.2"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</row>
    <row r="989" spans="2:15" x14ac:dyDescent="0.2"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</row>
    <row r="990" spans="2:15" x14ac:dyDescent="0.2"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</row>
    <row r="991" spans="2:15" x14ac:dyDescent="0.2"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</row>
    <row r="992" spans="2:15" x14ac:dyDescent="0.2"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</row>
    <row r="993" spans="2:15" x14ac:dyDescent="0.2"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</row>
    <row r="994" spans="2:15" x14ac:dyDescent="0.2"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</row>
    <row r="995" spans="2:15" x14ac:dyDescent="0.2"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</row>
    <row r="996" spans="2:15" x14ac:dyDescent="0.2"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</row>
    <row r="997" spans="2:15" x14ac:dyDescent="0.2"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</row>
    <row r="998" spans="2:15" x14ac:dyDescent="0.2"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</row>
    <row r="999" spans="2:15" x14ac:dyDescent="0.2"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</row>
    <row r="1000" spans="2:15" x14ac:dyDescent="0.2"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</row>
    <row r="1001" spans="2:15" x14ac:dyDescent="0.2"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</row>
    <row r="1002" spans="2:15" x14ac:dyDescent="0.2"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</row>
    <row r="1003" spans="2:15" x14ac:dyDescent="0.2"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</row>
    <row r="1004" spans="2:15" x14ac:dyDescent="0.2"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</row>
    <row r="1005" spans="2:15" x14ac:dyDescent="0.2"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</row>
    <row r="1006" spans="2:15" x14ac:dyDescent="0.2"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</row>
    <row r="1007" spans="2:15" x14ac:dyDescent="0.2"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</row>
    <row r="1008" spans="2:15" x14ac:dyDescent="0.2"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</row>
    <row r="1009" spans="2:15" x14ac:dyDescent="0.2"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</row>
    <row r="1010" spans="2:15" x14ac:dyDescent="0.2"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</row>
    <row r="1011" spans="2:15" x14ac:dyDescent="0.2"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</row>
    <row r="1012" spans="2:15" x14ac:dyDescent="0.2"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</row>
    <row r="1013" spans="2:15" x14ac:dyDescent="0.2"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</row>
    <row r="1014" spans="2:15" x14ac:dyDescent="0.2"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</row>
    <row r="1015" spans="2:15" x14ac:dyDescent="0.2"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</row>
    <row r="1016" spans="2:15" x14ac:dyDescent="0.2"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</row>
    <row r="1017" spans="2:15" x14ac:dyDescent="0.2"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</row>
    <row r="1018" spans="2:15" x14ac:dyDescent="0.2"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</row>
    <row r="1019" spans="2:15" x14ac:dyDescent="0.2"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</row>
    <row r="1020" spans="2:15" x14ac:dyDescent="0.2"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</row>
    <row r="1021" spans="2:15" x14ac:dyDescent="0.2"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</row>
    <row r="1022" spans="2:15" x14ac:dyDescent="0.2"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</row>
    <row r="1023" spans="2:15" x14ac:dyDescent="0.2"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</row>
    <row r="1024" spans="2:15" x14ac:dyDescent="0.2"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</row>
    <row r="1025" spans="2:15" x14ac:dyDescent="0.2"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</row>
    <row r="1026" spans="2:15" x14ac:dyDescent="0.2"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</row>
    <row r="1027" spans="2:15" x14ac:dyDescent="0.2"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</row>
    <row r="1028" spans="2:15" x14ac:dyDescent="0.2"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</row>
    <row r="1029" spans="2:15" x14ac:dyDescent="0.2"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</row>
    <row r="1030" spans="2:15" x14ac:dyDescent="0.2"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</row>
    <row r="1031" spans="2:15" x14ac:dyDescent="0.2"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</row>
    <row r="1032" spans="2:15" x14ac:dyDescent="0.2"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</row>
    <row r="1033" spans="2:15" x14ac:dyDescent="0.2"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</row>
    <row r="1034" spans="2:15" x14ac:dyDescent="0.2"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</row>
    <row r="1035" spans="2:15" x14ac:dyDescent="0.2"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</row>
    <row r="1036" spans="2:15" x14ac:dyDescent="0.2"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</row>
    <row r="1037" spans="2:15" x14ac:dyDescent="0.2"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</row>
    <row r="1038" spans="2:15" x14ac:dyDescent="0.2"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</row>
    <row r="1039" spans="2:15" x14ac:dyDescent="0.2"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</row>
    <row r="1040" spans="2:15" x14ac:dyDescent="0.2"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</row>
    <row r="1041" spans="2:15" x14ac:dyDescent="0.2"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</row>
    <row r="1042" spans="2:15" x14ac:dyDescent="0.2"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</row>
    <row r="1043" spans="2:15" x14ac:dyDescent="0.2"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</row>
    <row r="1044" spans="2:15" x14ac:dyDescent="0.2"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</row>
    <row r="1045" spans="2:15" x14ac:dyDescent="0.2"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</row>
    <row r="1046" spans="2:15" x14ac:dyDescent="0.2"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</row>
    <row r="1047" spans="2:15" x14ac:dyDescent="0.2"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</row>
    <row r="1048" spans="2:15" x14ac:dyDescent="0.2"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</row>
    <row r="1049" spans="2:15" x14ac:dyDescent="0.2"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</row>
    <row r="1050" spans="2:15" x14ac:dyDescent="0.2"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</row>
    <row r="1051" spans="2:15" x14ac:dyDescent="0.2"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</row>
    <row r="1052" spans="2:15" x14ac:dyDescent="0.2"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</row>
    <row r="1053" spans="2:15" x14ac:dyDescent="0.2"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</row>
    <row r="1054" spans="2:15" x14ac:dyDescent="0.2"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</row>
    <row r="1055" spans="2:15" x14ac:dyDescent="0.2"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</row>
    <row r="1056" spans="2:15" x14ac:dyDescent="0.2"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</row>
    <row r="1057" spans="2:15" x14ac:dyDescent="0.2"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</row>
    <row r="1058" spans="2:15" x14ac:dyDescent="0.2"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</row>
  </sheetData>
  <pageMargins left="0.6" right="0.6" top="1" bottom="1" header="0.5" footer="0.5"/>
  <pageSetup orientation="landscape" r:id="rId2"/>
  <headerFooter>
    <oddHeader>&amp;RDraft - Work in Progress</oddHeader>
    <oddFooter>&amp;L&amp;F
&amp;D, &amp;T&amp;C
Page &amp;P of &amp;N&amp;R&amp;A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N527"/>
  <sheetViews>
    <sheetView showGridLines="0" zoomScale="90" zoomScaleNormal="90" workbookViewId="0">
      <selection activeCell="D17" sqref="D17"/>
    </sheetView>
  </sheetViews>
  <sheetFormatPr baseColWidth="10" defaultColWidth="8.83203125" defaultRowHeight="15" x14ac:dyDescent="0.2"/>
  <cols>
    <col min="1" max="1" width="17.33203125" style="15" customWidth="1"/>
    <col min="2" max="2" width="12.1640625" style="13" customWidth="1"/>
    <col min="3" max="3" width="26.83203125" style="3" bestFit="1" customWidth="1"/>
    <col min="4" max="4" width="26.83203125" style="3" customWidth="1"/>
    <col min="5" max="5" width="12.5" customWidth="1"/>
    <col min="6" max="6" width="12.5" style="49" customWidth="1"/>
    <col min="7" max="7" width="10" style="13" customWidth="1"/>
    <col min="8" max="8" width="14.1640625" style="13" bestFit="1" customWidth="1"/>
    <col min="9" max="9" width="12.33203125" customWidth="1"/>
    <col min="10" max="11" width="12.83203125" bestFit="1" customWidth="1"/>
    <col min="12" max="12" width="10" bestFit="1" customWidth="1"/>
    <col min="13" max="13" width="11" bestFit="1" customWidth="1"/>
    <col min="14" max="14" width="12.33203125" customWidth="1"/>
  </cols>
  <sheetData>
    <row r="1" spans="1:14" x14ac:dyDescent="0.2">
      <c r="A1" s="14" t="s">
        <v>4</v>
      </c>
      <c r="B1" s="12" t="s">
        <v>3</v>
      </c>
      <c r="C1" s="7" t="s">
        <v>0</v>
      </c>
      <c r="D1" s="38" t="s">
        <v>548</v>
      </c>
      <c r="E1" s="6" t="s">
        <v>1</v>
      </c>
      <c r="F1" s="6" t="s">
        <v>615</v>
      </c>
      <c r="G1" s="12" t="s">
        <v>509</v>
      </c>
      <c r="H1" s="6" t="s">
        <v>614</v>
      </c>
    </row>
    <row r="2" spans="1:14" ht="16" thickBot="1" x14ac:dyDescent="0.25">
      <c r="A2" s="15" t="s">
        <v>144</v>
      </c>
      <c r="B2" s="16" t="s">
        <v>2</v>
      </c>
      <c r="C2" s="2">
        <v>2247</v>
      </c>
      <c r="D2" s="2">
        <f>TPData[[#This Row],[Annual Contract Value (ACV)]]/12</f>
        <v>187.25</v>
      </c>
      <c r="E2" s="1">
        <v>43282</v>
      </c>
      <c r="F2" s="1">
        <f>EDATE(TPData[[#This Row],[Close Month]],11)</f>
        <v>43617</v>
      </c>
      <c r="G2" s="13" t="s">
        <v>510</v>
      </c>
      <c r="H2" s="4" t="str">
        <f t="shared" ref="H2:H65" si="0">IF(C2&lt;=5000,$J$5,IF((C2&lt;10000),$J$6,IF((C2&lt;20000),$J$7,IF((C2&gt;=20000),$J$8))))</f>
        <v>Small (&lt;5k)</v>
      </c>
    </row>
    <row r="3" spans="1:14" ht="16" thickBot="1" x14ac:dyDescent="0.25">
      <c r="A3" s="15" t="s">
        <v>145</v>
      </c>
      <c r="B3" s="16" t="s">
        <v>2</v>
      </c>
      <c r="C3" s="2">
        <v>2700</v>
      </c>
      <c r="D3" s="2">
        <f>TPData[[#This Row],[Annual Contract Value (ACV)]]/12</f>
        <v>225</v>
      </c>
      <c r="E3" s="1">
        <v>43282</v>
      </c>
      <c r="F3" s="1">
        <f>EDATE(TPData[[#This Row],[Close Month]],11)</f>
        <v>43617</v>
      </c>
      <c r="G3" s="13" t="s">
        <v>510</v>
      </c>
      <c r="H3" s="4" t="str">
        <f t="shared" si="0"/>
        <v>Small (&lt;5k)</v>
      </c>
      <c r="M3" s="244" t="s">
        <v>609</v>
      </c>
      <c r="N3" s="245"/>
    </row>
    <row r="4" spans="1:14" x14ac:dyDescent="0.2">
      <c r="A4" s="15" t="s">
        <v>146</v>
      </c>
      <c r="B4" s="16" t="s">
        <v>2</v>
      </c>
      <c r="C4" s="2">
        <v>1746</v>
      </c>
      <c r="D4" s="2">
        <f>TPData[[#This Row],[Annual Contract Value (ACV)]]/12</f>
        <v>145.5</v>
      </c>
      <c r="E4" s="1">
        <v>43282</v>
      </c>
      <c r="F4" s="1">
        <f>EDATE(TPData[[#This Row],[Close Month]],11)</f>
        <v>43617</v>
      </c>
      <c r="G4" s="13" t="s">
        <v>510</v>
      </c>
      <c r="H4" s="4" t="str">
        <f t="shared" si="0"/>
        <v>Small (&lt;5k)</v>
      </c>
      <c r="J4" s="11"/>
      <c r="K4" s="72" t="s">
        <v>628</v>
      </c>
      <c r="L4" s="72" t="s">
        <v>607</v>
      </c>
      <c r="M4" s="117" t="s">
        <v>628</v>
      </c>
      <c r="N4" s="118" t="s">
        <v>607</v>
      </c>
    </row>
    <row r="5" spans="1:14" x14ac:dyDescent="0.2">
      <c r="A5" s="15" t="s">
        <v>147</v>
      </c>
      <c r="B5" s="16" t="s">
        <v>2</v>
      </c>
      <c r="C5" s="2">
        <v>1188</v>
      </c>
      <c r="D5" s="2">
        <f>TPData[[#This Row],[Annual Contract Value (ACV)]]/12</f>
        <v>99</v>
      </c>
      <c r="E5" s="1">
        <v>43282</v>
      </c>
      <c r="F5" s="1">
        <f>EDATE(TPData[[#This Row],[Close Month]],11)</f>
        <v>43617</v>
      </c>
      <c r="G5" s="13" t="s">
        <v>510</v>
      </c>
      <c r="H5" s="4" t="str">
        <f t="shared" si="0"/>
        <v>Small (&lt;5k)</v>
      </c>
      <c r="J5" s="49" t="s">
        <v>610</v>
      </c>
      <c r="K5">
        <f>COUNTIF(TPData[[#All],[Deal Size]],J5)</f>
        <v>273</v>
      </c>
      <c r="L5" s="43">
        <f>SUMIF(TPData[[#All],[Deal Size]],J5,TPData[[#All],[Annual Contract Value (ACV)]])</f>
        <v>707702.64845599991</v>
      </c>
      <c r="M5" s="119">
        <f>K5/$K$9</f>
        <v>0.51901140684410652</v>
      </c>
      <c r="N5" s="120">
        <f>L5/$L$9</f>
        <v>0.20807462084539843</v>
      </c>
    </row>
    <row r="6" spans="1:14" x14ac:dyDescent="0.2">
      <c r="A6" s="15" t="s">
        <v>148</v>
      </c>
      <c r="B6" s="16" t="s">
        <v>2</v>
      </c>
      <c r="C6" s="2">
        <v>1883.76</v>
      </c>
      <c r="D6" s="2">
        <f>TPData[[#This Row],[Annual Contract Value (ACV)]]/12</f>
        <v>156.97999999999999</v>
      </c>
      <c r="E6" s="1">
        <v>43282</v>
      </c>
      <c r="F6" s="1">
        <f>EDATE(TPData[[#This Row],[Close Month]],11)</f>
        <v>43617</v>
      </c>
      <c r="G6" s="13" t="s">
        <v>510</v>
      </c>
      <c r="H6" s="4" t="str">
        <f t="shared" si="0"/>
        <v>Small (&lt;5k)</v>
      </c>
      <c r="J6" s="49" t="s">
        <v>611</v>
      </c>
      <c r="K6" s="67">
        <f>COUNTIF(TPData[[#All],[Deal Size]],J6)</f>
        <v>157</v>
      </c>
      <c r="L6" s="43">
        <f>SUMIF(TPData[[#All],[Deal Size]],J6,TPData[[#All],[Annual Contract Value (ACV)]])</f>
        <v>1083232.7160319998</v>
      </c>
      <c r="M6" s="119">
        <f t="shared" ref="M6:M8" si="1">K6/$K$9</f>
        <v>0.29847908745247148</v>
      </c>
      <c r="N6" s="120">
        <f>L6/$L$9</f>
        <v>0.31848578943067629</v>
      </c>
    </row>
    <row r="7" spans="1:14" x14ac:dyDescent="0.2">
      <c r="A7" s="15" t="s">
        <v>149</v>
      </c>
      <c r="B7" s="16" t="s">
        <v>2</v>
      </c>
      <c r="C7" s="2">
        <v>20000</v>
      </c>
      <c r="D7" s="2">
        <f>TPData[[#This Row],[Annual Contract Value (ACV)]]/12</f>
        <v>1666.6666666666667</v>
      </c>
      <c r="E7" s="1">
        <v>43282</v>
      </c>
      <c r="F7" s="1">
        <f>EDATE(TPData[[#This Row],[Close Month]],11)</f>
        <v>43617</v>
      </c>
      <c r="G7" s="13" t="s">
        <v>510</v>
      </c>
      <c r="H7" s="4" t="str">
        <f t="shared" si="0"/>
        <v>Mega (20k+)</v>
      </c>
      <c r="J7" s="57" t="s">
        <v>612</v>
      </c>
      <c r="K7" s="67">
        <f>COUNTIF(TPData[[#All],[Deal Size]],J7)</f>
        <v>78</v>
      </c>
      <c r="L7" s="43">
        <f>SUMIF(TPData[[#All],[Deal Size]],J7,TPData[[#All],[Annual Contract Value (ACV)]])</f>
        <v>1071862.9128</v>
      </c>
      <c r="M7" s="119">
        <f t="shared" si="1"/>
        <v>0.14828897338403041</v>
      </c>
      <c r="N7" s="120">
        <f>L7/$L$9</f>
        <v>0.3151429059445871</v>
      </c>
    </row>
    <row r="8" spans="1:14" ht="16" thickBot="1" x14ac:dyDescent="0.25">
      <c r="A8" s="15" t="s">
        <v>150</v>
      </c>
      <c r="B8" s="16" t="s">
        <v>2</v>
      </c>
      <c r="C8" s="2">
        <v>7776.0000000000009</v>
      </c>
      <c r="D8" s="2">
        <f>TPData[[#This Row],[Annual Contract Value (ACV)]]/12</f>
        <v>648.00000000000011</v>
      </c>
      <c r="E8" s="1">
        <v>43282</v>
      </c>
      <c r="F8" s="1">
        <f>EDATE(TPData[[#This Row],[Close Month]],11)</f>
        <v>43617</v>
      </c>
      <c r="G8" s="13" t="s">
        <v>510</v>
      </c>
      <c r="H8" s="4" t="str">
        <f t="shared" si="0"/>
        <v>Medium (&lt;10k)</v>
      </c>
      <c r="J8" s="11" t="s">
        <v>613</v>
      </c>
      <c r="K8" s="11">
        <f>COUNTIF(TPData[[#All],[Deal Size]],J8)</f>
        <v>18</v>
      </c>
      <c r="L8" s="44">
        <f>SUMIF(TPData[[#All],[Deal Size]],J8,TPData[[#All],[Annual Contract Value (ACV)]])</f>
        <v>538398.10879999993</v>
      </c>
      <c r="M8" s="121">
        <f t="shared" si="1"/>
        <v>3.4220532319391636E-2</v>
      </c>
      <c r="N8" s="122">
        <f>L8/$L$9</f>
        <v>0.1582966837793382</v>
      </c>
    </row>
    <row r="9" spans="1:14" x14ac:dyDescent="0.2">
      <c r="A9" s="15" t="s">
        <v>151</v>
      </c>
      <c r="B9" s="16" t="s">
        <v>2</v>
      </c>
      <c r="C9" s="2">
        <v>7344</v>
      </c>
      <c r="D9" s="2">
        <f>TPData[[#This Row],[Annual Contract Value (ACV)]]/12</f>
        <v>612</v>
      </c>
      <c r="E9" s="1">
        <v>43313</v>
      </c>
      <c r="F9" s="1">
        <f>EDATE(TPData[[#This Row],[Close Month]],11)</f>
        <v>43647</v>
      </c>
      <c r="G9" s="13" t="s">
        <v>510</v>
      </c>
      <c r="H9" s="4" t="str">
        <f t="shared" si="0"/>
        <v>Medium (&lt;10k)</v>
      </c>
      <c r="J9" s="116" t="s">
        <v>547</v>
      </c>
      <c r="K9">
        <f>SUM(K5:K8)</f>
        <v>526</v>
      </c>
      <c r="L9" s="3">
        <f>SUM(L5:L8)</f>
        <v>3401196.3860879997</v>
      </c>
    </row>
    <row r="10" spans="1:14" x14ac:dyDescent="0.2">
      <c r="A10" s="15" t="s">
        <v>152</v>
      </c>
      <c r="B10" s="16" t="s">
        <v>2</v>
      </c>
      <c r="C10" s="2">
        <v>3744</v>
      </c>
      <c r="D10" s="2">
        <f>TPData[[#This Row],[Annual Contract Value (ACV)]]/12</f>
        <v>312</v>
      </c>
      <c r="E10" s="1">
        <v>43313</v>
      </c>
      <c r="F10" s="1">
        <f>EDATE(TPData[[#This Row],[Close Month]],11)</f>
        <v>43647</v>
      </c>
      <c r="G10" s="13" t="s">
        <v>510</v>
      </c>
      <c r="H10" s="4" t="str">
        <f t="shared" si="0"/>
        <v>Small (&lt;5k)</v>
      </c>
    </row>
    <row r="11" spans="1:14" x14ac:dyDescent="0.2">
      <c r="A11" s="15" t="s">
        <v>153</v>
      </c>
      <c r="B11" s="16" t="s">
        <v>2</v>
      </c>
      <c r="C11" s="2">
        <v>3180</v>
      </c>
      <c r="D11" s="2">
        <f>TPData[[#This Row],[Annual Contract Value (ACV)]]/12</f>
        <v>265</v>
      </c>
      <c r="E11" s="1">
        <v>43313</v>
      </c>
      <c r="F11" s="1">
        <f>EDATE(TPData[[#This Row],[Close Month]],11)</f>
        <v>43647</v>
      </c>
      <c r="G11" s="13" t="s">
        <v>510</v>
      </c>
      <c r="H11" s="4" t="str">
        <f t="shared" si="0"/>
        <v>Small (&lt;5k)</v>
      </c>
      <c r="J11" s="11"/>
      <c r="K11" s="11"/>
      <c r="L11" s="72" t="s">
        <v>607</v>
      </c>
    </row>
    <row r="12" spans="1:14" x14ac:dyDescent="0.2">
      <c r="A12" s="15" t="s">
        <v>154</v>
      </c>
      <c r="B12" s="16" t="s">
        <v>2</v>
      </c>
      <c r="C12" s="2">
        <v>1164</v>
      </c>
      <c r="D12" s="2">
        <f>TPData[[#This Row],[Annual Contract Value (ACV)]]/12</f>
        <v>97</v>
      </c>
      <c r="E12" s="1">
        <v>43313</v>
      </c>
      <c r="F12" s="1">
        <f>EDATE(TPData[[#This Row],[Close Month]],11)</f>
        <v>43647</v>
      </c>
      <c r="G12" s="13" t="s">
        <v>510</v>
      </c>
      <c r="H12" s="4" t="str">
        <f t="shared" si="0"/>
        <v>Small (&lt;5k)</v>
      </c>
      <c r="J12" t="s">
        <v>629</v>
      </c>
      <c r="L12" s="43">
        <f>MIN(TPData[[#All],[Annual Contract Value (ACV)]])</f>
        <v>570</v>
      </c>
    </row>
    <row r="13" spans="1:14" x14ac:dyDescent="0.2">
      <c r="A13" s="15" t="s">
        <v>155</v>
      </c>
      <c r="B13" s="16" t="s">
        <v>2</v>
      </c>
      <c r="C13" s="2">
        <v>3420</v>
      </c>
      <c r="D13" s="2">
        <f>TPData[[#This Row],[Annual Contract Value (ACV)]]/12</f>
        <v>285</v>
      </c>
      <c r="E13" s="1">
        <v>43313</v>
      </c>
      <c r="F13" s="1">
        <f>EDATE(TPData[[#This Row],[Close Month]],11)</f>
        <v>43647</v>
      </c>
      <c r="G13" s="13" t="s">
        <v>510</v>
      </c>
      <c r="H13" s="4" t="str">
        <f t="shared" si="0"/>
        <v>Small (&lt;5k)</v>
      </c>
      <c r="J13" t="s">
        <v>630</v>
      </c>
      <c r="L13" s="43">
        <f>MAX(TPData[[#All],[Annual Contract Value (ACV)]])</f>
        <v>51226.560000000005</v>
      </c>
    </row>
    <row r="14" spans="1:14" x14ac:dyDescent="0.2">
      <c r="A14" s="15" t="s">
        <v>156</v>
      </c>
      <c r="B14" s="16" t="s">
        <v>2</v>
      </c>
      <c r="C14" s="2">
        <v>2208</v>
      </c>
      <c r="D14" s="2">
        <f>TPData[[#This Row],[Annual Contract Value (ACV)]]/12</f>
        <v>184</v>
      </c>
      <c r="E14" s="1">
        <v>43313</v>
      </c>
      <c r="F14" s="1">
        <f>EDATE(TPData[[#This Row],[Close Month]],11)</f>
        <v>43647</v>
      </c>
      <c r="G14" s="13" t="s">
        <v>510</v>
      </c>
      <c r="H14" s="4" t="str">
        <f t="shared" si="0"/>
        <v>Small (&lt;5k)</v>
      </c>
      <c r="J14" t="s">
        <v>617</v>
      </c>
      <c r="L14" s="43">
        <f>AVERAGE(TPData[[#All],[Annual Contract Value (ACV)]])</f>
        <v>6466.1528252623584</v>
      </c>
    </row>
    <row r="15" spans="1:14" x14ac:dyDescent="0.2">
      <c r="A15" s="15" t="s">
        <v>157</v>
      </c>
      <c r="B15" s="16" t="s">
        <v>2</v>
      </c>
      <c r="C15" s="2">
        <v>3708</v>
      </c>
      <c r="D15" s="2">
        <f>TPData[[#This Row],[Annual Contract Value (ACV)]]/12</f>
        <v>309</v>
      </c>
      <c r="E15" s="1">
        <v>43313</v>
      </c>
      <c r="F15" s="1">
        <f>EDATE(TPData[[#This Row],[Close Month]],11)</f>
        <v>43647</v>
      </c>
      <c r="G15" s="13" t="s">
        <v>510</v>
      </c>
      <c r="H15" s="4" t="str">
        <f t="shared" si="0"/>
        <v>Small (&lt;5k)</v>
      </c>
    </row>
    <row r="16" spans="1:14" x14ac:dyDescent="0.2">
      <c r="A16" s="15" t="s">
        <v>158</v>
      </c>
      <c r="B16" s="16" t="s">
        <v>2</v>
      </c>
      <c r="C16" s="2">
        <v>1881.6</v>
      </c>
      <c r="D16" s="2">
        <f>TPData[[#This Row],[Annual Contract Value (ACV)]]/12</f>
        <v>156.79999999999998</v>
      </c>
      <c r="E16" s="1">
        <v>43313</v>
      </c>
      <c r="F16" s="1">
        <f>EDATE(TPData[[#This Row],[Close Month]],11)</f>
        <v>43647</v>
      </c>
      <c r="G16" s="13" t="s">
        <v>510</v>
      </c>
      <c r="H16" s="4" t="str">
        <f t="shared" si="0"/>
        <v>Small (&lt;5k)</v>
      </c>
    </row>
    <row r="17" spans="1:9" x14ac:dyDescent="0.2">
      <c r="A17" s="15" t="s">
        <v>159</v>
      </c>
      <c r="B17" s="16" t="s">
        <v>2</v>
      </c>
      <c r="C17" s="2">
        <v>2160</v>
      </c>
      <c r="D17" s="2">
        <f>TPData[[#This Row],[Annual Contract Value (ACV)]]/12</f>
        <v>180</v>
      </c>
      <c r="E17" s="1">
        <v>43344</v>
      </c>
      <c r="F17" s="1">
        <f>EDATE(TPData[[#This Row],[Close Month]],11)</f>
        <v>43678</v>
      </c>
      <c r="G17" s="13" t="s">
        <v>510</v>
      </c>
      <c r="H17" s="4" t="str">
        <f t="shared" si="0"/>
        <v>Small (&lt;5k)</v>
      </c>
    </row>
    <row r="18" spans="1:9" x14ac:dyDescent="0.2">
      <c r="A18" s="15" t="s">
        <v>160</v>
      </c>
      <c r="B18" s="16" t="s">
        <v>2</v>
      </c>
      <c r="C18" s="2">
        <v>4860</v>
      </c>
      <c r="D18" s="2">
        <f>TPData[[#This Row],[Annual Contract Value (ACV)]]/12</f>
        <v>405</v>
      </c>
      <c r="E18" s="1">
        <v>43344</v>
      </c>
      <c r="F18" s="1">
        <f>EDATE(TPData[[#This Row],[Close Month]],11)</f>
        <v>43678</v>
      </c>
      <c r="G18" s="13" t="s">
        <v>510</v>
      </c>
      <c r="H18" s="4" t="str">
        <f t="shared" si="0"/>
        <v>Small (&lt;5k)</v>
      </c>
    </row>
    <row r="19" spans="1:9" x14ac:dyDescent="0.2">
      <c r="A19" s="15" t="s">
        <v>161</v>
      </c>
      <c r="B19" s="16" t="s">
        <v>2</v>
      </c>
      <c r="C19" s="2">
        <v>6468</v>
      </c>
      <c r="D19" s="2">
        <f>TPData[[#This Row],[Annual Contract Value (ACV)]]/12</f>
        <v>539</v>
      </c>
      <c r="E19" s="1">
        <v>43344</v>
      </c>
      <c r="F19" s="1">
        <f>EDATE(TPData[[#This Row],[Close Month]],11)</f>
        <v>43678</v>
      </c>
      <c r="G19" s="13" t="s">
        <v>510</v>
      </c>
      <c r="H19" s="4" t="str">
        <f t="shared" si="0"/>
        <v>Medium (&lt;10k)</v>
      </c>
    </row>
    <row r="20" spans="1:9" x14ac:dyDescent="0.2">
      <c r="A20" s="15" t="s">
        <v>162</v>
      </c>
      <c r="B20" s="16" t="s">
        <v>2</v>
      </c>
      <c r="C20" s="2">
        <v>2100</v>
      </c>
      <c r="D20" s="2">
        <f>TPData[[#This Row],[Annual Contract Value (ACV)]]/12</f>
        <v>175</v>
      </c>
      <c r="E20" s="1">
        <v>43344</v>
      </c>
      <c r="F20" s="1">
        <f>EDATE(TPData[[#This Row],[Close Month]],11)</f>
        <v>43678</v>
      </c>
      <c r="G20" s="13" t="s">
        <v>510</v>
      </c>
      <c r="H20" s="4" t="str">
        <f t="shared" si="0"/>
        <v>Small (&lt;5k)</v>
      </c>
    </row>
    <row r="21" spans="1:9" x14ac:dyDescent="0.2">
      <c r="A21" s="15" t="s">
        <v>163</v>
      </c>
      <c r="B21" s="16" t="s">
        <v>2</v>
      </c>
      <c r="C21" s="2">
        <v>1854</v>
      </c>
      <c r="D21" s="2">
        <f>TPData[[#This Row],[Annual Contract Value (ACV)]]/12</f>
        <v>154.5</v>
      </c>
      <c r="E21" s="1">
        <v>43344</v>
      </c>
      <c r="F21" s="1">
        <f>EDATE(TPData[[#This Row],[Close Month]],11)</f>
        <v>43678</v>
      </c>
      <c r="G21" s="13" t="s">
        <v>510</v>
      </c>
      <c r="H21" s="4" t="str">
        <f t="shared" si="0"/>
        <v>Small (&lt;5k)</v>
      </c>
    </row>
    <row r="22" spans="1:9" x14ac:dyDescent="0.2">
      <c r="A22" s="15" t="s">
        <v>164</v>
      </c>
      <c r="B22" s="16" t="s">
        <v>2</v>
      </c>
      <c r="C22" s="2">
        <v>756.6</v>
      </c>
      <c r="D22" s="2">
        <f>TPData[[#This Row],[Annual Contract Value (ACV)]]/12</f>
        <v>63.050000000000004</v>
      </c>
      <c r="E22" s="1">
        <v>43344</v>
      </c>
      <c r="F22" s="1">
        <f>EDATE(TPData[[#This Row],[Close Month]],11)</f>
        <v>43678</v>
      </c>
      <c r="G22" s="13" t="s">
        <v>510</v>
      </c>
      <c r="H22" s="4" t="str">
        <f t="shared" si="0"/>
        <v>Small (&lt;5k)</v>
      </c>
    </row>
    <row r="23" spans="1:9" x14ac:dyDescent="0.2">
      <c r="A23" s="15" t="s">
        <v>165</v>
      </c>
      <c r="B23" s="16" t="s">
        <v>2</v>
      </c>
      <c r="C23" s="2">
        <v>3060</v>
      </c>
      <c r="D23" s="2">
        <f>TPData[[#This Row],[Annual Contract Value (ACV)]]/12</f>
        <v>255</v>
      </c>
      <c r="E23" s="1">
        <v>43344</v>
      </c>
      <c r="F23" s="1">
        <f>EDATE(TPData[[#This Row],[Close Month]],11)</f>
        <v>43678</v>
      </c>
      <c r="G23" s="13" t="s">
        <v>510</v>
      </c>
      <c r="H23" s="4" t="str">
        <f t="shared" si="0"/>
        <v>Small (&lt;5k)</v>
      </c>
    </row>
    <row r="24" spans="1:9" x14ac:dyDescent="0.2">
      <c r="A24" s="15" t="s">
        <v>166</v>
      </c>
      <c r="B24" s="16" t="s">
        <v>2</v>
      </c>
      <c r="C24" s="2">
        <v>1932</v>
      </c>
      <c r="D24" s="2">
        <f>TPData[[#This Row],[Annual Contract Value (ACV)]]/12</f>
        <v>161</v>
      </c>
      <c r="E24" s="1">
        <v>43344</v>
      </c>
      <c r="F24" s="1">
        <f>EDATE(TPData[[#This Row],[Close Month]],11)</f>
        <v>43678</v>
      </c>
      <c r="G24" s="13" t="s">
        <v>510</v>
      </c>
      <c r="H24" s="4" t="str">
        <f t="shared" si="0"/>
        <v>Small (&lt;5k)</v>
      </c>
    </row>
    <row r="25" spans="1:9" x14ac:dyDescent="0.2">
      <c r="A25" s="15" t="s">
        <v>167</v>
      </c>
      <c r="B25" s="16" t="s">
        <v>2</v>
      </c>
      <c r="C25" s="2">
        <v>1836</v>
      </c>
      <c r="D25" s="2">
        <f>TPData[[#This Row],[Annual Contract Value (ACV)]]/12</f>
        <v>153</v>
      </c>
      <c r="E25" s="1">
        <v>43344</v>
      </c>
      <c r="F25" s="1">
        <f>EDATE(TPData[[#This Row],[Close Month]],11)</f>
        <v>43678</v>
      </c>
      <c r="G25" s="13" t="s">
        <v>510</v>
      </c>
      <c r="H25" s="4" t="str">
        <f t="shared" si="0"/>
        <v>Small (&lt;5k)</v>
      </c>
    </row>
    <row r="26" spans="1:9" x14ac:dyDescent="0.2">
      <c r="A26" s="15" t="s">
        <v>168</v>
      </c>
      <c r="B26" s="16" t="s">
        <v>2</v>
      </c>
      <c r="C26" s="2">
        <v>2256</v>
      </c>
      <c r="D26" s="2">
        <f>TPData[[#This Row],[Annual Contract Value (ACV)]]/12</f>
        <v>188</v>
      </c>
      <c r="E26" s="1">
        <v>43344</v>
      </c>
      <c r="F26" s="1">
        <f>EDATE(TPData[[#This Row],[Close Month]],11)</f>
        <v>43678</v>
      </c>
      <c r="G26" s="13" t="s">
        <v>510</v>
      </c>
      <c r="H26" s="4" t="str">
        <f t="shared" si="0"/>
        <v>Small (&lt;5k)</v>
      </c>
    </row>
    <row r="27" spans="1:9" x14ac:dyDescent="0.2">
      <c r="A27" s="15" t="s">
        <v>169</v>
      </c>
      <c r="B27" s="16" t="s">
        <v>2</v>
      </c>
      <c r="C27" s="2">
        <v>16218</v>
      </c>
      <c r="D27" s="2">
        <f>TPData[[#This Row],[Annual Contract Value (ACV)]]/12</f>
        <v>1351.5</v>
      </c>
      <c r="E27" s="1">
        <v>43344</v>
      </c>
      <c r="F27" s="1">
        <f>EDATE(TPData[[#This Row],[Close Month]],11)</f>
        <v>43678</v>
      </c>
      <c r="G27" s="13" t="s">
        <v>510</v>
      </c>
      <c r="H27" s="4" t="str">
        <f t="shared" si="0"/>
        <v>Large (&lt;20k)</v>
      </c>
    </row>
    <row r="28" spans="1:9" x14ac:dyDescent="0.2">
      <c r="A28" s="15" t="s">
        <v>170</v>
      </c>
      <c r="B28" s="16" t="s">
        <v>2</v>
      </c>
      <c r="C28" s="2">
        <v>2889</v>
      </c>
      <c r="D28" s="2">
        <f>TPData[[#This Row],[Annual Contract Value (ACV)]]/12</f>
        <v>240.75</v>
      </c>
      <c r="E28" s="1">
        <v>43374</v>
      </c>
      <c r="F28" s="1">
        <f>EDATE(TPData[[#This Row],[Close Month]],11)</f>
        <v>43709</v>
      </c>
      <c r="G28" s="13" t="s">
        <v>510</v>
      </c>
      <c r="H28" s="4" t="str">
        <f t="shared" si="0"/>
        <v>Small (&lt;5k)</v>
      </c>
      <c r="I28" s="5"/>
    </row>
    <row r="29" spans="1:9" x14ac:dyDescent="0.2">
      <c r="A29" s="15" t="s">
        <v>171</v>
      </c>
      <c r="B29" s="16" t="s">
        <v>2</v>
      </c>
      <c r="C29" s="2">
        <v>2646</v>
      </c>
      <c r="D29" s="2">
        <f>TPData[[#This Row],[Annual Contract Value (ACV)]]/12</f>
        <v>220.5</v>
      </c>
      <c r="E29" s="1">
        <v>43374</v>
      </c>
      <c r="F29" s="1">
        <f>EDATE(TPData[[#This Row],[Close Month]],11)</f>
        <v>43709</v>
      </c>
      <c r="G29" s="13" t="s">
        <v>510</v>
      </c>
      <c r="H29" s="4" t="str">
        <f t="shared" si="0"/>
        <v>Small (&lt;5k)</v>
      </c>
      <c r="I29" s="5"/>
    </row>
    <row r="30" spans="1:9" x14ac:dyDescent="0.2">
      <c r="A30" s="15" t="s">
        <v>172</v>
      </c>
      <c r="B30" s="16" t="s">
        <v>2</v>
      </c>
      <c r="C30" s="2">
        <v>2484</v>
      </c>
      <c r="D30" s="2">
        <f>TPData[[#This Row],[Annual Contract Value (ACV)]]/12</f>
        <v>207</v>
      </c>
      <c r="E30" s="1">
        <v>43374</v>
      </c>
      <c r="F30" s="1">
        <f>EDATE(TPData[[#This Row],[Close Month]],11)</f>
        <v>43709</v>
      </c>
      <c r="G30" s="13" t="s">
        <v>510</v>
      </c>
      <c r="H30" s="4" t="str">
        <f t="shared" si="0"/>
        <v>Small (&lt;5k)</v>
      </c>
      <c r="I30" s="5"/>
    </row>
    <row r="31" spans="1:9" x14ac:dyDescent="0.2">
      <c r="A31" s="15" t="s">
        <v>173</v>
      </c>
      <c r="B31" s="16" t="s">
        <v>2</v>
      </c>
      <c r="C31" s="2">
        <v>5896.8</v>
      </c>
      <c r="D31" s="2">
        <f>TPData[[#This Row],[Annual Contract Value (ACV)]]/12</f>
        <v>491.40000000000003</v>
      </c>
      <c r="E31" s="1">
        <v>43374</v>
      </c>
      <c r="F31" s="1">
        <f>EDATE(TPData[[#This Row],[Close Month]],11)</f>
        <v>43709</v>
      </c>
      <c r="G31" s="13" t="s">
        <v>510</v>
      </c>
      <c r="H31" s="4" t="str">
        <f t="shared" si="0"/>
        <v>Medium (&lt;10k)</v>
      </c>
      <c r="I31" s="5"/>
    </row>
    <row r="32" spans="1:9" x14ac:dyDescent="0.2">
      <c r="A32" s="15" t="s">
        <v>174</v>
      </c>
      <c r="B32" s="16" t="s">
        <v>2</v>
      </c>
      <c r="C32" s="2">
        <v>3272.4</v>
      </c>
      <c r="D32" s="2">
        <f>TPData[[#This Row],[Annual Contract Value (ACV)]]/12</f>
        <v>272.7</v>
      </c>
      <c r="E32" s="1">
        <v>43374</v>
      </c>
      <c r="F32" s="1">
        <f>EDATE(TPData[[#This Row],[Close Month]],11)</f>
        <v>43709</v>
      </c>
      <c r="G32" s="13" t="s">
        <v>510</v>
      </c>
      <c r="H32" s="4" t="str">
        <f t="shared" si="0"/>
        <v>Small (&lt;5k)</v>
      </c>
      <c r="I32" s="5"/>
    </row>
    <row r="33" spans="1:9" x14ac:dyDescent="0.2">
      <c r="A33" s="15" t="s">
        <v>175</v>
      </c>
      <c r="B33" s="16" t="s">
        <v>2</v>
      </c>
      <c r="C33" s="2">
        <v>5508</v>
      </c>
      <c r="D33" s="2">
        <f>TPData[[#This Row],[Annual Contract Value (ACV)]]/12</f>
        <v>459</v>
      </c>
      <c r="E33" s="1">
        <v>43374</v>
      </c>
      <c r="F33" s="1">
        <f>EDATE(TPData[[#This Row],[Close Month]],11)</f>
        <v>43709</v>
      </c>
      <c r="G33" s="13" t="s">
        <v>510</v>
      </c>
      <c r="H33" s="4" t="str">
        <f t="shared" si="0"/>
        <v>Medium (&lt;10k)</v>
      </c>
      <c r="I33" s="5"/>
    </row>
    <row r="34" spans="1:9" x14ac:dyDescent="0.2">
      <c r="A34" s="15" t="s">
        <v>176</v>
      </c>
      <c r="B34" s="16" t="s">
        <v>2</v>
      </c>
      <c r="C34" s="2">
        <v>12474</v>
      </c>
      <c r="D34" s="2">
        <f>TPData[[#This Row],[Annual Contract Value (ACV)]]/12</f>
        <v>1039.5</v>
      </c>
      <c r="E34" s="1">
        <v>43405</v>
      </c>
      <c r="F34" s="1">
        <f>EDATE(TPData[[#This Row],[Close Month]],11)</f>
        <v>43739</v>
      </c>
      <c r="G34" s="13" t="s">
        <v>510</v>
      </c>
      <c r="H34" s="4" t="str">
        <f t="shared" si="0"/>
        <v>Large (&lt;20k)</v>
      </c>
      <c r="I34" s="5"/>
    </row>
    <row r="35" spans="1:9" x14ac:dyDescent="0.2">
      <c r="A35" s="15" t="s">
        <v>177</v>
      </c>
      <c r="B35" s="16" t="s">
        <v>2</v>
      </c>
      <c r="C35" s="2">
        <v>8343</v>
      </c>
      <c r="D35" s="2">
        <f>TPData[[#This Row],[Annual Contract Value (ACV)]]/12</f>
        <v>695.25</v>
      </c>
      <c r="E35" s="1">
        <v>43405</v>
      </c>
      <c r="F35" s="1">
        <f>EDATE(TPData[[#This Row],[Close Month]],11)</f>
        <v>43739</v>
      </c>
      <c r="G35" s="13" t="s">
        <v>510</v>
      </c>
      <c r="H35" s="4" t="str">
        <f t="shared" si="0"/>
        <v>Medium (&lt;10k)</v>
      </c>
      <c r="I35" s="5"/>
    </row>
    <row r="36" spans="1:9" x14ac:dyDescent="0.2">
      <c r="A36" s="15" t="s">
        <v>178</v>
      </c>
      <c r="B36" s="16" t="s">
        <v>2</v>
      </c>
      <c r="C36" s="2">
        <v>5524.2</v>
      </c>
      <c r="D36" s="2">
        <f>TPData[[#This Row],[Annual Contract Value (ACV)]]/12</f>
        <v>460.34999999999997</v>
      </c>
      <c r="E36" s="1">
        <v>43405</v>
      </c>
      <c r="F36" s="1">
        <f>EDATE(TPData[[#This Row],[Close Month]],11)</f>
        <v>43739</v>
      </c>
      <c r="G36" s="13" t="s">
        <v>510</v>
      </c>
      <c r="H36" s="4" t="str">
        <f t="shared" si="0"/>
        <v>Medium (&lt;10k)</v>
      </c>
      <c r="I36" s="5"/>
    </row>
    <row r="37" spans="1:9" x14ac:dyDescent="0.2">
      <c r="A37" s="15" t="s">
        <v>179</v>
      </c>
      <c r="B37" s="16" t="s">
        <v>2</v>
      </c>
      <c r="C37" s="2">
        <v>3142.8</v>
      </c>
      <c r="D37" s="2">
        <f>TPData[[#This Row],[Annual Contract Value (ACV)]]/12</f>
        <v>261.90000000000003</v>
      </c>
      <c r="E37" s="1">
        <v>43405</v>
      </c>
      <c r="F37" s="1">
        <f>EDATE(TPData[[#This Row],[Close Month]],11)</f>
        <v>43739</v>
      </c>
      <c r="G37" s="13" t="s">
        <v>510</v>
      </c>
      <c r="H37" s="4" t="str">
        <f t="shared" si="0"/>
        <v>Small (&lt;5k)</v>
      </c>
      <c r="I37" s="5"/>
    </row>
    <row r="38" spans="1:9" x14ac:dyDescent="0.2">
      <c r="A38" s="15" t="s">
        <v>180</v>
      </c>
      <c r="B38" s="16" t="s">
        <v>2</v>
      </c>
      <c r="C38" s="2">
        <v>2727</v>
      </c>
      <c r="D38" s="2">
        <f>TPData[[#This Row],[Annual Contract Value (ACV)]]/12</f>
        <v>227.25</v>
      </c>
      <c r="E38" s="1">
        <v>43405</v>
      </c>
      <c r="F38" s="1">
        <f>EDATE(TPData[[#This Row],[Close Month]],11)</f>
        <v>43739</v>
      </c>
      <c r="G38" s="13" t="s">
        <v>510</v>
      </c>
      <c r="H38" s="4" t="str">
        <f t="shared" si="0"/>
        <v>Small (&lt;5k)</v>
      </c>
      <c r="I38" s="5"/>
    </row>
    <row r="39" spans="1:9" x14ac:dyDescent="0.2">
      <c r="A39" s="15" t="s">
        <v>181</v>
      </c>
      <c r="B39" s="16" t="s">
        <v>2</v>
      </c>
      <c r="C39" s="2">
        <v>1123.2</v>
      </c>
      <c r="D39" s="2">
        <f>TPData[[#This Row],[Annual Contract Value (ACV)]]/12</f>
        <v>93.600000000000009</v>
      </c>
      <c r="E39" s="1">
        <v>43405</v>
      </c>
      <c r="F39" s="1">
        <f>EDATE(TPData[[#This Row],[Close Month]],11)</f>
        <v>43739</v>
      </c>
      <c r="G39" s="13" t="s">
        <v>510</v>
      </c>
      <c r="H39" s="4" t="str">
        <f t="shared" si="0"/>
        <v>Small (&lt;5k)</v>
      </c>
      <c r="I39" s="5"/>
    </row>
    <row r="40" spans="1:9" x14ac:dyDescent="0.2">
      <c r="A40" s="15" t="s">
        <v>182</v>
      </c>
      <c r="B40" s="16" t="s">
        <v>2</v>
      </c>
      <c r="C40" s="2">
        <v>1058.4000000000001</v>
      </c>
      <c r="D40" s="2">
        <f>TPData[[#This Row],[Annual Contract Value (ACV)]]/12</f>
        <v>88.2</v>
      </c>
      <c r="E40" s="1">
        <v>43435</v>
      </c>
      <c r="F40" s="1">
        <f>EDATE(TPData[[#This Row],[Close Month]],11)</f>
        <v>43770</v>
      </c>
      <c r="G40" s="13" t="s">
        <v>510</v>
      </c>
      <c r="H40" s="4" t="str">
        <f t="shared" si="0"/>
        <v>Small (&lt;5k)</v>
      </c>
      <c r="I40" s="5"/>
    </row>
    <row r="41" spans="1:9" x14ac:dyDescent="0.2">
      <c r="A41" s="15" t="s">
        <v>183</v>
      </c>
      <c r="B41" s="16" t="s">
        <v>2</v>
      </c>
      <c r="C41" s="2">
        <v>1215</v>
      </c>
      <c r="D41" s="2">
        <f>TPData[[#This Row],[Annual Contract Value (ACV)]]/12</f>
        <v>101.25</v>
      </c>
      <c r="E41" s="1">
        <v>43435</v>
      </c>
      <c r="F41" s="1">
        <f>EDATE(TPData[[#This Row],[Close Month]],11)</f>
        <v>43770</v>
      </c>
      <c r="G41" s="13" t="s">
        <v>510</v>
      </c>
      <c r="H41" s="4" t="str">
        <f t="shared" si="0"/>
        <v>Small (&lt;5k)</v>
      </c>
      <c r="I41" s="5"/>
    </row>
    <row r="42" spans="1:9" x14ac:dyDescent="0.2">
      <c r="A42" s="15" t="s">
        <v>184</v>
      </c>
      <c r="B42" s="16" t="s">
        <v>2</v>
      </c>
      <c r="C42" s="2">
        <v>1944</v>
      </c>
      <c r="D42" s="2">
        <f>TPData[[#This Row],[Annual Contract Value (ACV)]]/12</f>
        <v>162</v>
      </c>
      <c r="E42" s="1">
        <v>43466</v>
      </c>
      <c r="F42" s="1">
        <f>EDATE(TPData[[#This Row],[Close Month]],11)</f>
        <v>43800</v>
      </c>
      <c r="G42" s="13" t="s">
        <v>510</v>
      </c>
      <c r="H42" s="4" t="str">
        <f t="shared" si="0"/>
        <v>Small (&lt;5k)</v>
      </c>
    </row>
    <row r="43" spans="1:9" x14ac:dyDescent="0.2">
      <c r="A43" s="15" t="s">
        <v>185</v>
      </c>
      <c r="B43" s="16" t="s">
        <v>2</v>
      </c>
      <c r="C43" s="2">
        <v>4095.0327600000001</v>
      </c>
      <c r="D43" s="2">
        <f>TPData[[#This Row],[Annual Contract Value (ACV)]]/12</f>
        <v>341.25272999999999</v>
      </c>
      <c r="E43" s="1">
        <v>43466</v>
      </c>
      <c r="F43" s="1">
        <f>EDATE(TPData[[#This Row],[Close Month]],11)</f>
        <v>43800</v>
      </c>
      <c r="G43" s="13" t="s">
        <v>510</v>
      </c>
      <c r="H43" s="4" t="str">
        <f t="shared" si="0"/>
        <v>Small (&lt;5k)</v>
      </c>
    </row>
    <row r="44" spans="1:9" x14ac:dyDescent="0.2">
      <c r="A44" s="15" t="s">
        <v>186</v>
      </c>
      <c r="B44" s="16" t="s">
        <v>2</v>
      </c>
      <c r="C44" s="2">
        <v>24721.200000000004</v>
      </c>
      <c r="D44" s="2">
        <f>TPData[[#This Row],[Annual Contract Value (ACV)]]/12</f>
        <v>2060.1000000000004</v>
      </c>
      <c r="E44" s="1">
        <v>43466</v>
      </c>
      <c r="F44" s="1">
        <f>EDATE(TPData[[#This Row],[Close Month]],11)</f>
        <v>43800</v>
      </c>
      <c r="G44" s="13" t="s">
        <v>510</v>
      </c>
      <c r="H44" s="4" t="str">
        <f t="shared" si="0"/>
        <v>Mega (20k+)</v>
      </c>
    </row>
    <row r="45" spans="1:9" x14ac:dyDescent="0.2">
      <c r="A45" s="15" t="s">
        <v>187</v>
      </c>
      <c r="B45" s="16" t="s">
        <v>2</v>
      </c>
      <c r="C45" s="2">
        <v>51226.560000000005</v>
      </c>
      <c r="D45" s="2">
        <f>TPData[[#This Row],[Annual Contract Value (ACV)]]/12</f>
        <v>4268.88</v>
      </c>
      <c r="E45" s="1">
        <v>43466</v>
      </c>
      <c r="F45" s="1">
        <f>EDATE(TPData[[#This Row],[Close Month]],11)</f>
        <v>43800</v>
      </c>
      <c r="G45" s="13" t="s">
        <v>510</v>
      </c>
      <c r="H45" s="4" t="str">
        <f t="shared" si="0"/>
        <v>Mega (20k+)</v>
      </c>
    </row>
    <row r="46" spans="1:9" x14ac:dyDescent="0.2">
      <c r="A46" s="15" t="s">
        <v>188</v>
      </c>
      <c r="B46" s="16" t="s">
        <v>2</v>
      </c>
      <c r="C46" s="2">
        <v>1444.5</v>
      </c>
      <c r="D46" s="2">
        <f>TPData[[#This Row],[Annual Contract Value (ACV)]]/12</f>
        <v>120.375</v>
      </c>
      <c r="E46" s="1">
        <v>43466</v>
      </c>
      <c r="F46" s="1">
        <f>EDATE(TPData[[#This Row],[Close Month]],11)</f>
        <v>43800</v>
      </c>
      <c r="G46" s="13" t="s">
        <v>510</v>
      </c>
      <c r="H46" s="4" t="str">
        <f t="shared" si="0"/>
        <v>Small (&lt;5k)</v>
      </c>
    </row>
    <row r="47" spans="1:9" x14ac:dyDescent="0.2">
      <c r="A47" s="15" t="s">
        <v>189</v>
      </c>
      <c r="B47" s="16" t="s">
        <v>2</v>
      </c>
      <c r="C47" s="2">
        <v>3337.2</v>
      </c>
      <c r="D47" s="2">
        <f>TPData[[#This Row],[Annual Contract Value (ACV)]]/12</f>
        <v>278.09999999999997</v>
      </c>
      <c r="E47" s="1">
        <v>43497</v>
      </c>
      <c r="F47" s="1">
        <f>EDATE(TPData[[#This Row],[Close Month]],11)</f>
        <v>43831</v>
      </c>
      <c r="G47" s="13" t="s">
        <v>510</v>
      </c>
      <c r="H47" s="4" t="str">
        <f t="shared" si="0"/>
        <v>Small (&lt;5k)</v>
      </c>
      <c r="I47" s="4"/>
    </row>
    <row r="48" spans="1:9" x14ac:dyDescent="0.2">
      <c r="A48" s="15" t="s">
        <v>190</v>
      </c>
      <c r="B48" s="16" t="s">
        <v>2</v>
      </c>
      <c r="C48" s="2">
        <v>1652.3999999999999</v>
      </c>
      <c r="D48" s="2">
        <f>TPData[[#This Row],[Annual Contract Value (ACV)]]/12</f>
        <v>137.69999999999999</v>
      </c>
      <c r="E48" s="1">
        <v>43497</v>
      </c>
      <c r="F48" s="1">
        <f>EDATE(TPData[[#This Row],[Close Month]],11)</f>
        <v>43831</v>
      </c>
      <c r="G48" s="13" t="s">
        <v>510</v>
      </c>
      <c r="H48" s="4" t="str">
        <f t="shared" si="0"/>
        <v>Small (&lt;5k)</v>
      </c>
      <c r="I48" s="4"/>
    </row>
    <row r="49" spans="1:9" x14ac:dyDescent="0.2">
      <c r="A49" s="15" t="s">
        <v>191</v>
      </c>
      <c r="B49" s="16" t="s">
        <v>2</v>
      </c>
      <c r="C49" s="2">
        <v>2322.0432000000001</v>
      </c>
      <c r="D49" s="2">
        <f>TPData[[#This Row],[Annual Contract Value (ACV)]]/12</f>
        <v>193.50360000000001</v>
      </c>
      <c r="E49" s="1">
        <v>43525</v>
      </c>
      <c r="F49" s="1">
        <f>EDATE(TPData[[#This Row],[Close Month]],11)</f>
        <v>43862</v>
      </c>
      <c r="G49" s="13" t="s">
        <v>510</v>
      </c>
      <c r="H49" s="4" t="str">
        <f t="shared" si="0"/>
        <v>Small (&lt;5k)</v>
      </c>
    </row>
    <row r="50" spans="1:9" x14ac:dyDescent="0.2">
      <c r="A50" s="15" t="s">
        <v>192</v>
      </c>
      <c r="B50" s="16" t="s">
        <v>2</v>
      </c>
      <c r="C50" s="2">
        <v>15390</v>
      </c>
      <c r="D50" s="2">
        <f>TPData[[#This Row],[Annual Contract Value (ACV)]]/12</f>
        <v>1282.5</v>
      </c>
      <c r="E50" s="1">
        <v>43525</v>
      </c>
      <c r="F50" s="1">
        <f>EDATE(TPData[[#This Row],[Close Month]],11)</f>
        <v>43862</v>
      </c>
      <c r="G50" s="13" t="s">
        <v>510</v>
      </c>
      <c r="H50" s="4" t="str">
        <f t="shared" si="0"/>
        <v>Large (&lt;20k)</v>
      </c>
    </row>
    <row r="51" spans="1:9" x14ac:dyDescent="0.2">
      <c r="A51" s="15" t="s">
        <v>193</v>
      </c>
      <c r="B51" s="16" t="s">
        <v>2</v>
      </c>
      <c r="C51" s="2">
        <v>47511.360000000001</v>
      </c>
      <c r="D51" s="2">
        <f>TPData[[#This Row],[Annual Contract Value (ACV)]]/12</f>
        <v>3959.28</v>
      </c>
      <c r="E51" s="1">
        <v>43525</v>
      </c>
      <c r="F51" s="1">
        <f>EDATE(TPData[[#This Row],[Close Month]],11)</f>
        <v>43862</v>
      </c>
      <c r="G51" s="13" t="s">
        <v>510</v>
      </c>
      <c r="H51" s="4" t="str">
        <f t="shared" si="0"/>
        <v>Mega (20k+)</v>
      </c>
    </row>
    <row r="52" spans="1:9" x14ac:dyDescent="0.2">
      <c r="A52" s="15" t="s">
        <v>194</v>
      </c>
      <c r="B52" s="16" t="s">
        <v>2</v>
      </c>
      <c r="C52" s="2">
        <v>15714</v>
      </c>
      <c r="D52" s="2">
        <f>TPData[[#This Row],[Annual Contract Value (ACV)]]/12</f>
        <v>1309.5</v>
      </c>
      <c r="E52" s="1">
        <v>43525</v>
      </c>
      <c r="F52" s="1">
        <f>EDATE(TPData[[#This Row],[Close Month]],11)</f>
        <v>43862</v>
      </c>
      <c r="G52" s="13" t="s">
        <v>510</v>
      </c>
      <c r="H52" s="4" t="str">
        <f t="shared" si="0"/>
        <v>Large (&lt;20k)</v>
      </c>
    </row>
    <row r="53" spans="1:9" x14ac:dyDescent="0.2">
      <c r="A53" s="15" t="s">
        <v>195</v>
      </c>
      <c r="B53" s="16" t="s">
        <v>2</v>
      </c>
      <c r="C53" s="2">
        <v>3434.4</v>
      </c>
      <c r="D53" s="2">
        <f>TPData[[#This Row],[Annual Contract Value (ACV)]]/12</f>
        <v>286.2</v>
      </c>
      <c r="E53" s="1">
        <v>43525</v>
      </c>
      <c r="F53" s="1">
        <f>EDATE(TPData[[#This Row],[Close Month]],11)</f>
        <v>43862</v>
      </c>
      <c r="G53" s="13" t="s">
        <v>510</v>
      </c>
      <c r="H53" s="4" t="str">
        <f t="shared" si="0"/>
        <v>Small (&lt;5k)</v>
      </c>
    </row>
    <row r="54" spans="1:9" x14ac:dyDescent="0.2">
      <c r="A54" s="15" t="s">
        <v>196</v>
      </c>
      <c r="B54" s="16" t="s">
        <v>2</v>
      </c>
      <c r="C54" s="2">
        <v>20023.2</v>
      </c>
      <c r="D54" s="2">
        <f>TPData[[#This Row],[Annual Contract Value (ACV)]]/12</f>
        <v>1668.6000000000001</v>
      </c>
      <c r="E54" s="1">
        <v>43525</v>
      </c>
      <c r="F54" s="1">
        <f>EDATE(TPData[[#This Row],[Close Month]],11)</f>
        <v>43862</v>
      </c>
      <c r="G54" s="13" t="s">
        <v>510</v>
      </c>
      <c r="H54" s="4" t="str">
        <f t="shared" si="0"/>
        <v>Mega (20k+)</v>
      </c>
    </row>
    <row r="55" spans="1:9" x14ac:dyDescent="0.2">
      <c r="A55" s="15" t="s">
        <v>197</v>
      </c>
      <c r="B55" s="16" t="s">
        <v>2</v>
      </c>
      <c r="C55" s="2">
        <v>12700.8</v>
      </c>
      <c r="D55" s="2">
        <f>TPData[[#This Row],[Annual Contract Value (ACV)]]/12</f>
        <v>1058.3999999999999</v>
      </c>
      <c r="E55" s="1">
        <v>43525</v>
      </c>
      <c r="F55" s="1">
        <f>EDATE(TPData[[#This Row],[Close Month]],11)</f>
        <v>43862</v>
      </c>
      <c r="G55" s="13" t="s">
        <v>510</v>
      </c>
      <c r="H55" s="4" t="str">
        <f t="shared" si="0"/>
        <v>Large (&lt;20k)</v>
      </c>
    </row>
    <row r="56" spans="1:9" x14ac:dyDescent="0.2">
      <c r="A56" s="15" t="s">
        <v>198</v>
      </c>
      <c r="B56" s="16" t="s">
        <v>2</v>
      </c>
      <c r="C56" s="2">
        <v>2131.92</v>
      </c>
      <c r="D56" s="2">
        <f>TPData[[#This Row],[Annual Contract Value (ACV)]]/12</f>
        <v>177.66</v>
      </c>
      <c r="E56" s="1">
        <v>43525</v>
      </c>
      <c r="F56" s="1">
        <f>EDATE(TPData[[#This Row],[Close Month]],11)</f>
        <v>43862</v>
      </c>
      <c r="G56" s="13" t="s">
        <v>510</v>
      </c>
      <c r="H56" s="4" t="str">
        <f t="shared" si="0"/>
        <v>Small (&lt;5k)</v>
      </c>
    </row>
    <row r="57" spans="1:9" x14ac:dyDescent="0.2">
      <c r="A57" s="15" t="s">
        <v>199</v>
      </c>
      <c r="B57" s="16" t="s">
        <v>2</v>
      </c>
      <c r="C57" s="2">
        <v>5248.8</v>
      </c>
      <c r="D57" s="2">
        <f>TPData[[#This Row],[Annual Contract Value (ACV)]]/12</f>
        <v>437.40000000000003</v>
      </c>
      <c r="E57" s="1">
        <v>43556</v>
      </c>
      <c r="F57" s="1">
        <f>EDATE(TPData[[#This Row],[Close Month]],11)</f>
        <v>43891</v>
      </c>
      <c r="G57" s="13" t="s">
        <v>510</v>
      </c>
      <c r="H57" s="4" t="str">
        <f t="shared" si="0"/>
        <v>Medium (&lt;10k)</v>
      </c>
    </row>
    <row r="58" spans="1:9" x14ac:dyDescent="0.2">
      <c r="A58" s="15" t="s">
        <v>200</v>
      </c>
      <c r="B58" s="16" t="s">
        <v>2</v>
      </c>
      <c r="C58" s="2">
        <v>8398.08</v>
      </c>
      <c r="D58" s="2">
        <f>TPData[[#This Row],[Annual Contract Value (ACV)]]/12</f>
        <v>699.84</v>
      </c>
      <c r="E58" s="1">
        <v>43556</v>
      </c>
      <c r="F58" s="1">
        <f>EDATE(TPData[[#This Row],[Close Month]],11)</f>
        <v>43891</v>
      </c>
      <c r="G58" s="13" t="s">
        <v>510</v>
      </c>
      <c r="H58" s="4" t="str">
        <f t="shared" si="0"/>
        <v>Medium (&lt;10k)</v>
      </c>
    </row>
    <row r="59" spans="1:9" x14ac:dyDescent="0.2">
      <c r="A59" s="15" t="s">
        <v>201</v>
      </c>
      <c r="B59" s="16" t="s">
        <v>2</v>
      </c>
      <c r="C59" s="2">
        <v>40824</v>
      </c>
      <c r="D59" s="2">
        <f>TPData[[#This Row],[Annual Contract Value (ACV)]]/12</f>
        <v>3402</v>
      </c>
      <c r="E59" s="1">
        <v>43586</v>
      </c>
      <c r="F59" s="1">
        <f>EDATE(TPData[[#This Row],[Close Month]],11)</f>
        <v>43922</v>
      </c>
      <c r="G59" s="13" t="s">
        <v>510</v>
      </c>
      <c r="H59" s="4" t="str">
        <f t="shared" si="0"/>
        <v>Mega (20k+)</v>
      </c>
      <c r="I59" s="4"/>
    </row>
    <row r="60" spans="1:9" x14ac:dyDescent="0.2">
      <c r="A60" s="15" t="s">
        <v>202</v>
      </c>
      <c r="B60" s="16" t="s">
        <v>2</v>
      </c>
      <c r="C60" s="2">
        <v>1474.2</v>
      </c>
      <c r="D60" s="2">
        <f>TPData[[#This Row],[Annual Contract Value (ACV)]]/12</f>
        <v>122.85000000000001</v>
      </c>
      <c r="E60" s="1">
        <v>43586</v>
      </c>
      <c r="F60" s="1">
        <f>EDATE(TPData[[#This Row],[Close Month]],11)</f>
        <v>43922</v>
      </c>
      <c r="G60" s="13" t="s">
        <v>510</v>
      </c>
      <c r="H60" s="4" t="str">
        <f t="shared" si="0"/>
        <v>Small (&lt;5k)</v>
      </c>
      <c r="I60" s="4"/>
    </row>
    <row r="61" spans="1:9" x14ac:dyDescent="0.2">
      <c r="A61" s="15" t="s">
        <v>203</v>
      </c>
      <c r="B61" s="16" t="s">
        <v>2</v>
      </c>
      <c r="C61" s="2">
        <v>8748</v>
      </c>
      <c r="D61" s="2">
        <f>TPData[[#This Row],[Annual Contract Value (ACV)]]/12</f>
        <v>729</v>
      </c>
      <c r="E61" s="1">
        <v>43586</v>
      </c>
      <c r="F61" s="1">
        <f>EDATE(TPData[[#This Row],[Close Month]],11)</f>
        <v>43922</v>
      </c>
      <c r="G61" s="13" t="s">
        <v>510</v>
      </c>
      <c r="H61" s="4" t="str">
        <f t="shared" si="0"/>
        <v>Medium (&lt;10k)</v>
      </c>
      <c r="I61" s="4"/>
    </row>
    <row r="62" spans="1:9" x14ac:dyDescent="0.2">
      <c r="A62" s="15" t="s">
        <v>204</v>
      </c>
      <c r="B62" s="16" t="s">
        <v>2</v>
      </c>
      <c r="C62" s="2">
        <v>14113.44</v>
      </c>
      <c r="D62" s="2">
        <f>TPData[[#This Row],[Annual Contract Value (ACV)]]/12</f>
        <v>1176.1200000000001</v>
      </c>
      <c r="E62" s="1">
        <v>43586</v>
      </c>
      <c r="F62" s="1">
        <f>EDATE(TPData[[#This Row],[Close Month]],11)</f>
        <v>43922</v>
      </c>
      <c r="G62" s="13" t="s">
        <v>510</v>
      </c>
      <c r="H62" s="4" t="str">
        <f t="shared" si="0"/>
        <v>Large (&lt;20k)</v>
      </c>
      <c r="I62" s="4"/>
    </row>
    <row r="63" spans="1:9" x14ac:dyDescent="0.2">
      <c r="A63" s="15" t="s">
        <v>205</v>
      </c>
      <c r="B63" s="16" t="s">
        <v>2</v>
      </c>
      <c r="C63" s="2">
        <v>2060.64</v>
      </c>
      <c r="D63" s="2">
        <f>TPData[[#This Row],[Annual Contract Value (ACV)]]/12</f>
        <v>171.72</v>
      </c>
      <c r="E63" s="1">
        <v>43617</v>
      </c>
      <c r="F63" s="1">
        <f>EDATE(TPData[[#This Row],[Close Month]],11)</f>
        <v>43952</v>
      </c>
      <c r="G63" s="13" t="s">
        <v>510</v>
      </c>
      <c r="H63" s="4" t="str">
        <f t="shared" si="0"/>
        <v>Small (&lt;5k)</v>
      </c>
      <c r="I63" s="4"/>
    </row>
    <row r="64" spans="1:9" x14ac:dyDescent="0.2">
      <c r="A64" s="15" t="s">
        <v>206</v>
      </c>
      <c r="B64" s="16" t="s">
        <v>2</v>
      </c>
      <c r="C64" s="2">
        <v>10368</v>
      </c>
      <c r="D64" s="2">
        <f>TPData[[#This Row],[Annual Contract Value (ACV)]]/12</f>
        <v>864</v>
      </c>
      <c r="E64" s="1">
        <v>43617</v>
      </c>
      <c r="F64" s="1">
        <f>EDATE(TPData[[#This Row],[Close Month]],11)</f>
        <v>43952</v>
      </c>
      <c r="G64" s="13" t="s">
        <v>510</v>
      </c>
      <c r="H64" s="4" t="str">
        <f t="shared" si="0"/>
        <v>Large (&lt;20k)</v>
      </c>
      <c r="I64" s="4"/>
    </row>
    <row r="65" spans="1:9" x14ac:dyDescent="0.2">
      <c r="A65" s="15" t="s">
        <v>207</v>
      </c>
      <c r="B65" s="16" t="s">
        <v>2</v>
      </c>
      <c r="C65" s="2">
        <v>6609.5999999999995</v>
      </c>
      <c r="D65" s="2">
        <f>TPData[[#This Row],[Annual Contract Value (ACV)]]/12</f>
        <v>550.79999999999995</v>
      </c>
      <c r="E65" s="1">
        <v>43617</v>
      </c>
      <c r="F65" s="1">
        <f>EDATE(TPData[[#This Row],[Close Month]],11)</f>
        <v>43952</v>
      </c>
      <c r="G65" s="13" t="s">
        <v>510</v>
      </c>
      <c r="H65" s="4" t="str">
        <f t="shared" si="0"/>
        <v>Medium (&lt;10k)</v>
      </c>
      <c r="I65" s="4"/>
    </row>
    <row r="66" spans="1:9" x14ac:dyDescent="0.2">
      <c r="A66" s="15" t="s">
        <v>208</v>
      </c>
      <c r="B66" s="16" t="s">
        <v>2</v>
      </c>
      <c r="C66" s="2">
        <v>2116.8423360000002</v>
      </c>
      <c r="D66" s="2">
        <f>TPData[[#This Row],[Annual Contract Value (ACV)]]/12</f>
        <v>176.40352800000002</v>
      </c>
      <c r="E66" s="1">
        <v>43617</v>
      </c>
      <c r="F66" s="1">
        <f>EDATE(TPData[[#This Row],[Close Month]],11)</f>
        <v>43952</v>
      </c>
      <c r="G66" s="13" t="s">
        <v>510</v>
      </c>
      <c r="H66" s="4" t="str">
        <f t="shared" ref="H66:H129" si="2">IF(C66&lt;=5000,$J$5,IF((C66&lt;10000),$J$6,IF((C66&lt;20000),$J$7,IF((C66&gt;=20000),$J$8))))</f>
        <v>Small (&lt;5k)</v>
      </c>
      <c r="I66" s="4"/>
    </row>
    <row r="67" spans="1:9" x14ac:dyDescent="0.2">
      <c r="A67" s="15" t="s">
        <v>209</v>
      </c>
      <c r="B67" s="16" t="s">
        <v>2</v>
      </c>
      <c r="C67" s="2">
        <v>5562.0444959999995</v>
      </c>
      <c r="D67" s="2">
        <f>TPData[[#This Row],[Annual Contract Value (ACV)]]/12</f>
        <v>463.50370799999996</v>
      </c>
      <c r="E67" s="1">
        <v>43617</v>
      </c>
      <c r="F67" s="1">
        <f>EDATE(TPData[[#This Row],[Close Month]],11)</f>
        <v>43952</v>
      </c>
      <c r="G67" s="13" t="s">
        <v>510</v>
      </c>
      <c r="H67" s="4" t="str">
        <f t="shared" si="2"/>
        <v>Medium (&lt;10k)</v>
      </c>
      <c r="I67" s="4"/>
    </row>
    <row r="68" spans="1:9" x14ac:dyDescent="0.2">
      <c r="A68" s="15" t="s">
        <v>293</v>
      </c>
      <c r="B68" s="16" t="s">
        <v>2</v>
      </c>
      <c r="C68" s="2">
        <v>4976.6399999999994</v>
      </c>
      <c r="D68" s="2">
        <f>TPData[[#This Row],[Annual Contract Value (ACV)]]/12</f>
        <v>414.71999999999997</v>
      </c>
      <c r="E68" s="1">
        <v>43282</v>
      </c>
      <c r="F68" s="1">
        <f>EDATE(TPData[[#This Row],[Close Month]],11)</f>
        <v>43617</v>
      </c>
      <c r="G68" s="13" t="s">
        <v>511</v>
      </c>
      <c r="H68" s="4" t="str">
        <f t="shared" si="2"/>
        <v>Small (&lt;5k)</v>
      </c>
    </row>
    <row r="69" spans="1:9" x14ac:dyDescent="0.2">
      <c r="A69" s="15" t="s">
        <v>294</v>
      </c>
      <c r="B69" s="16" t="s">
        <v>2</v>
      </c>
      <c r="C69" s="2">
        <v>4160.16</v>
      </c>
      <c r="D69" s="2">
        <f>TPData[[#This Row],[Annual Contract Value (ACV)]]/12</f>
        <v>346.68</v>
      </c>
      <c r="E69" s="1">
        <v>43313</v>
      </c>
      <c r="F69" s="1">
        <f>EDATE(TPData[[#This Row],[Close Month]],11)</f>
        <v>43647</v>
      </c>
      <c r="G69" s="13" t="s">
        <v>511</v>
      </c>
      <c r="H69" s="4" t="str">
        <f t="shared" si="2"/>
        <v>Small (&lt;5k)</v>
      </c>
    </row>
    <row r="70" spans="1:9" x14ac:dyDescent="0.2">
      <c r="A70" s="15" t="s">
        <v>295</v>
      </c>
      <c r="B70" s="16" t="s">
        <v>2</v>
      </c>
      <c r="C70" s="2">
        <v>2063.88</v>
      </c>
      <c r="D70" s="2">
        <f>TPData[[#This Row],[Annual Contract Value (ACV)]]/12</f>
        <v>171.99</v>
      </c>
      <c r="E70" s="1">
        <v>43313</v>
      </c>
      <c r="F70" s="1">
        <f>EDATE(TPData[[#This Row],[Close Month]],11)</f>
        <v>43647</v>
      </c>
      <c r="G70" s="13" t="s">
        <v>511</v>
      </c>
      <c r="H70" s="4" t="str">
        <f t="shared" si="2"/>
        <v>Small (&lt;5k)</v>
      </c>
    </row>
    <row r="71" spans="1:9" x14ac:dyDescent="0.2">
      <c r="A71" s="15" t="s">
        <v>522</v>
      </c>
      <c r="B71" s="16" t="s">
        <v>2</v>
      </c>
      <c r="C71" s="2">
        <v>15000</v>
      </c>
      <c r="D71" s="2">
        <f>TPData[[#This Row],[Annual Contract Value (ACV)]]/12</f>
        <v>1250</v>
      </c>
      <c r="E71" s="1">
        <v>43435</v>
      </c>
      <c r="F71" s="1">
        <f>EDATE(TPData[[#This Row],[Close Month]],11)</f>
        <v>43770</v>
      </c>
      <c r="G71" s="13" t="s">
        <v>511</v>
      </c>
      <c r="H71" s="4" t="str">
        <f t="shared" si="2"/>
        <v>Large (&lt;20k)</v>
      </c>
    </row>
    <row r="72" spans="1:9" x14ac:dyDescent="0.2">
      <c r="A72" s="15" t="s">
        <v>523</v>
      </c>
      <c r="B72" s="16" t="s">
        <v>2</v>
      </c>
      <c r="C72" s="2">
        <v>11500</v>
      </c>
      <c r="D72" s="2">
        <f>TPData[[#This Row],[Annual Contract Value (ACV)]]/12</f>
        <v>958.33333333333337</v>
      </c>
      <c r="E72" s="1">
        <v>43617</v>
      </c>
      <c r="F72" s="1">
        <f>EDATE(TPData[[#This Row],[Close Month]],11)</f>
        <v>43952</v>
      </c>
      <c r="G72" s="13" t="s">
        <v>511</v>
      </c>
      <c r="H72" s="4" t="str">
        <f t="shared" si="2"/>
        <v>Large (&lt;20k)</v>
      </c>
    </row>
    <row r="73" spans="1:9" x14ac:dyDescent="0.2">
      <c r="A73" s="15" t="s">
        <v>296</v>
      </c>
      <c r="B73" s="16" t="s">
        <v>2</v>
      </c>
      <c r="C73" s="2">
        <v>7581.6466559999999</v>
      </c>
      <c r="D73" s="2">
        <f>TPData[[#This Row],[Annual Contract Value (ACV)]]/12</f>
        <v>631.80388800000003</v>
      </c>
      <c r="E73" s="1">
        <v>43313</v>
      </c>
      <c r="F73" s="1">
        <f>EDATE(TPData[[#This Row],[Close Month]],11)</f>
        <v>43647</v>
      </c>
      <c r="G73" s="13" t="s">
        <v>511</v>
      </c>
      <c r="H73" s="4" t="str">
        <f t="shared" si="2"/>
        <v>Medium (&lt;10k)</v>
      </c>
    </row>
    <row r="74" spans="1:9" x14ac:dyDescent="0.2">
      <c r="A74" s="15" t="s">
        <v>297</v>
      </c>
      <c r="B74" s="16" t="s">
        <v>2</v>
      </c>
      <c r="C74" s="2">
        <v>1179.3600000000001</v>
      </c>
      <c r="D74" s="2">
        <f>TPData[[#This Row],[Annual Contract Value (ACV)]]/12</f>
        <v>98.280000000000015</v>
      </c>
      <c r="E74" s="1">
        <v>43313</v>
      </c>
      <c r="F74" s="1">
        <f>EDATE(TPData[[#This Row],[Close Month]],11)</f>
        <v>43647</v>
      </c>
      <c r="G74" s="13" t="s">
        <v>511</v>
      </c>
      <c r="H74" s="4" t="str">
        <f t="shared" si="2"/>
        <v>Small (&lt;5k)</v>
      </c>
    </row>
    <row r="75" spans="1:9" x14ac:dyDescent="0.2">
      <c r="A75" s="15" t="s">
        <v>298</v>
      </c>
      <c r="B75" s="16" t="s">
        <v>2</v>
      </c>
      <c r="C75" s="2">
        <v>1474.2</v>
      </c>
      <c r="D75" s="2">
        <f>TPData[[#This Row],[Annual Contract Value (ACV)]]/12</f>
        <v>122.85000000000001</v>
      </c>
      <c r="E75" s="1">
        <v>43344</v>
      </c>
      <c r="F75" s="1">
        <f>EDATE(TPData[[#This Row],[Close Month]],11)</f>
        <v>43678</v>
      </c>
      <c r="G75" s="13" t="s">
        <v>511</v>
      </c>
      <c r="H75" s="4" t="str">
        <f t="shared" si="2"/>
        <v>Small (&lt;5k)</v>
      </c>
    </row>
    <row r="76" spans="1:9" x14ac:dyDescent="0.2">
      <c r="A76" s="15" t="s">
        <v>299</v>
      </c>
      <c r="B76" s="16" t="s">
        <v>2</v>
      </c>
      <c r="C76" s="2">
        <v>13996.8</v>
      </c>
      <c r="D76" s="2">
        <f>TPData[[#This Row],[Annual Contract Value (ACV)]]/12</f>
        <v>1166.3999999999999</v>
      </c>
      <c r="E76" s="1">
        <v>43344</v>
      </c>
      <c r="F76" s="1">
        <f>EDATE(TPData[[#This Row],[Close Month]],11)</f>
        <v>43678</v>
      </c>
      <c r="G76" s="13" t="s">
        <v>511</v>
      </c>
      <c r="H76" s="4" t="str">
        <f t="shared" si="2"/>
        <v>Large (&lt;20k)</v>
      </c>
    </row>
    <row r="77" spans="1:9" x14ac:dyDescent="0.2">
      <c r="A77" s="15" t="s">
        <v>300</v>
      </c>
      <c r="B77" s="16" t="s">
        <v>2</v>
      </c>
      <c r="C77" s="2">
        <v>4751.1359999999995</v>
      </c>
      <c r="D77" s="2">
        <f>TPData[[#This Row],[Annual Contract Value (ACV)]]/12</f>
        <v>395.92799999999994</v>
      </c>
      <c r="E77" s="1">
        <v>43374</v>
      </c>
      <c r="F77" s="1">
        <f>EDATE(TPData[[#This Row],[Close Month]],11)</f>
        <v>43709</v>
      </c>
      <c r="G77" s="13" t="s">
        <v>511</v>
      </c>
      <c r="H77" s="4" t="str">
        <f t="shared" si="2"/>
        <v>Small (&lt;5k)</v>
      </c>
      <c r="I77" s="5"/>
    </row>
    <row r="78" spans="1:9" x14ac:dyDescent="0.2">
      <c r="A78" s="15" t="s">
        <v>301</v>
      </c>
      <c r="B78" s="16" t="s">
        <v>2</v>
      </c>
      <c r="C78" s="2">
        <v>7128.0000000000009</v>
      </c>
      <c r="D78" s="2">
        <f>TPData[[#This Row],[Annual Contract Value (ACV)]]/12</f>
        <v>594.00000000000011</v>
      </c>
      <c r="E78" s="1">
        <v>43374</v>
      </c>
      <c r="F78" s="1">
        <f>EDATE(TPData[[#This Row],[Close Month]],11)</f>
        <v>43709</v>
      </c>
      <c r="G78" s="13" t="s">
        <v>511</v>
      </c>
      <c r="H78" s="4" t="str">
        <f t="shared" si="2"/>
        <v>Medium (&lt;10k)</v>
      </c>
      <c r="I78" s="5"/>
    </row>
    <row r="79" spans="1:9" x14ac:dyDescent="0.2">
      <c r="A79" s="15" t="s">
        <v>302</v>
      </c>
      <c r="B79" s="16" t="s">
        <v>2</v>
      </c>
      <c r="C79" s="2">
        <v>6739.2</v>
      </c>
      <c r="D79" s="2">
        <f>TPData[[#This Row],[Annual Contract Value (ACV)]]/12</f>
        <v>561.6</v>
      </c>
      <c r="E79" s="1">
        <v>43374</v>
      </c>
      <c r="F79" s="1">
        <f>EDATE(TPData[[#This Row],[Close Month]],11)</f>
        <v>43709</v>
      </c>
      <c r="G79" s="13" t="s">
        <v>511</v>
      </c>
      <c r="H79" s="4" t="str">
        <f t="shared" si="2"/>
        <v>Medium (&lt;10k)</v>
      </c>
      <c r="I79" s="5"/>
    </row>
    <row r="80" spans="1:9" x14ac:dyDescent="0.2">
      <c r="A80" s="15" t="s">
        <v>303</v>
      </c>
      <c r="B80" s="16" t="s">
        <v>2</v>
      </c>
      <c r="C80" s="2">
        <v>12441.6</v>
      </c>
      <c r="D80" s="2">
        <f>TPData[[#This Row],[Annual Contract Value (ACV)]]/12</f>
        <v>1036.8</v>
      </c>
      <c r="E80" s="1">
        <v>43405</v>
      </c>
      <c r="F80" s="1">
        <f>EDATE(TPData[[#This Row],[Close Month]],11)</f>
        <v>43739</v>
      </c>
      <c r="G80" s="13" t="s">
        <v>511</v>
      </c>
      <c r="H80" s="4" t="str">
        <f t="shared" si="2"/>
        <v>Large (&lt;20k)</v>
      </c>
      <c r="I80" s="5"/>
    </row>
    <row r="81" spans="1:9" x14ac:dyDescent="0.2">
      <c r="A81" s="15" t="s">
        <v>304</v>
      </c>
      <c r="B81" s="16" t="s">
        <v>2</v>
      </c>
      <c r="C81" s="2">
        <v>2514.2400000000002</v>
      </c>
      <c r="D81" s="2">
        <f>TPData[[#This Row],[Annual Contract Value (ACV)]]/12</f>
        <v>209.52</v>
      </c>
      <c r="E81" s="1">
        <v>43405</v>
      </c>
      <c r="F81" s="1">
        <f>EDATE(TPData[[#This Row],[Close Month]],11)</f>
        <v>43739</v>
      </c>
      <c r="G81" s="13" t="s">
        <v>511</v>
      </c>
      <c r="H81" s="4" t="str">
        <f t="shared" si="2"/>
        <v>Small (&lt;5k)</v>
      </c>
      <c r="I81" s="5"/>
    </row>
    <row r="82" spans="1:9" x14ac:dyDescent="0.2">
      <c r="A82" s="15" t="s">
        <v>305</v>
      </c>
      <c r="B82" s="16" t="s">
        <v>2</v>
      </c>
      <c r="C82" s="2">
        <v>2021.7599999999998</v>
      </c>
      <c r="D82" s="2">
        <f>TPData[[#This Row],[Annual Contract Value (ACV)]]/12</f>
        <v>168.48</v>
      </c>
      <c r="E82" s="1">
        <v>43466</v>
      </c>
      <c r="F82" s="1">
        <f>EDATE(TPData[[#This Row],[Close Month]],11)</f>
        <v>43800</v>
      </c>
      <c r="G82" s="13" t="s">
        <v>511</v>
      </c>
      <c r="H82" s="4" t="str">
        <f t="shared" si="2"/>
        <v>Small (&lt;5k)</v>
      </c>
    </row>
    <row r="83" spans="1:9" x14ac:dyDescent="0.2">
      <c r="A83" s="15" t="s">
        <v>306</v>
      </c>
      <c r="B83" s="16" t="s">
        <v>2</v>
      </c>
      <c r="C83" s="2">
        <v>3499.2</v>
      </c>
      <c r="D83" s="2">
        <f>TPData[[#This Row],[Annual Contract Value (ACV)]]/12</f>
        <v>291.59999999999997</v>
      </c>
      <c r="E83" s="1">
        <v>43466</v>
      </c>
      <c r="F83" s="1">
        <f>EDATE(TPData[[#This Row],[Close Month]],11)</f>
        <v>43800</v>
      </c>
      <c r="G83" s="13" t="s">
        <v>511</v>
      </c>
      <c r="H83" s="4" t="str">
        <f t="shared" si="2"/>
        <v>Small (&lt;5k)</v>
      </c>
    </row>
    <row r="84" spans="1:9" x14ac:dyDescent="0.2">
      <c r="A84" s="15" t="s">
        <v>307</v>
      </c>
      <c r="B84" s="16" t="s">
        <v>2</v>
      </c>
      <c r="C84" s="2">
        <v>6675.6959999999999</v>
      </c>
      <c r="D84" s="2">
        <f>TPData[[#This Row],[Annual Contract Value (ACV)]]/12</f>
        <v>556.30799999999999</v>
      </c>
      <c r="E84" s="1">
        <v>43466</v>
      </c>
      <c r="F84" s="1">
        <f>EDATE(TPData[[#This Row],[Close Month]],11)</f>
        <v>43800</v>
      </c>
      <c r="G84" s="13" t="s">
        <v>511</v>
      </c>
      <c r="H84" s="4" t="str">
        <f t="shared" si="2"/>
        <v>Medium (&lt;10k)</v>
      </c>
    </row>
    <row r="85" spans="1:9" x14ac:dyDescent="0.2">
      <c r="A85" s="15" t="s">
        <v>308</v>
      </c>
      <c r="B85" s="16" t="s">
        <v>2</v>
      </c>
      <c r="C85" s="2">
        <v>5615.7753600000005</v>
      </c>
      <c r="D85" s="2">
        <f>TPData[[#This Row],[Annual Contract Value (ACV)]]/12</f>
        <v>467.98128000000003</v>
      </c>
      <c r="E85" s="1">
        <v>43497</v>
      </c>
      <c r="F85" s="1">
        <f>EDATE(TPData[[#This Row],[Close Month]],11)</f>
        <v>43831</v>
      </c>
      <c r="G85" s="13" t="s">
        <v>511</v>
      </c>
      <c r="H85" s="4" t="str">
        <f t="shared" si="2"/>
        <v>Medium (&lt;10k)</v>
      </c>
      <c r="I85" s="4"/>
    </row>
    <row r="86" spans="1:9" x14ac:dyDescent="0.2">
      <c r="A86" s="15" t="s">
        <v>309</v>
      </c>
      <c r="B86" s="16" t="s">
        <v>2</v>
      </c>
      <c r="C86" s="2">
        <v>18468</v>
      </c>
      <c r="D86" s="2">
        <f>TPData[[#This Row],[Annual Contract Value (ACV)]]/12</f>
        <v>1539</v>
      </c>
      <c r="E86" s="1">
        <v>43525</v>
      </c>
      <c r="F86" s="1">
        <f>EDATE(TPData[[#This Row],[Close Month]],11)</f>
        <v>43862</v>
      </c>
      <c r="G86" s="13" t="s">
        <v>511</v>
      </c>
      <c r="H86" s="4" t="str">
        <f t="shared" si="2"/>
        <v>Large (&lt;20k)</v>
      </c>
    </row>
    <row r="87" spans="1:9" x14ac:dyDescent="0.2">
      <c r="A87" s="15" t="s">
        <v>310</v>
      </c>
      <c r="B87" s="16" t="s">
        <v>2</v>
      </c>
      <c r="C87" s="2">
        <v>6739.2</v>
      </c>
      <c r="D87" s="2">
        <f>TPData[[#This Row],[Annual Contract Value (ACV)]]/12</f>
        <v>561.6</v>
      </c>
      <c r="E87" s="1">
        <v>43525</v>
      </c>
      <c r="F87" s="1">
        <f>EDATE(TPData[[#This Row],[Close Month]],11)</f>
        <v>43862</v>
      </c>
      <c r="G87" s="13" t="s">
        <v>511</v>
      </c>
      <c r="H87" s="4" t="str">
        <f t="shared" si="2"/>
        <v>Medium (&lt;10k)</v>
      </c>
    </row>
    <row r="88" spans="1:9" x14ac:dyDescent="0.2">
      <c r="A88" s="15" t="s">
        <v>311</v>
      </c>
      <c r="B88" s="16" t="s">
        <v>2</v>
      </c>
      <c r="C88" s="2">
        <v>1652.3999999999999</v>
      </c>
      <c r="D88" s="2">
        <f>TPData[[#This Row],[Annual Contract Value (ACV)]]/12</f>
        <v>137.69999999999999</v>
      </c>
      <c r="E88" s="1">
        <v>43525</v>
      </c>
      <c r="F88" s="1">
        <f>EDATE(TPData[[#This Row],[Close Month]],11)</f>
        <v>43862</v>
      </c>
      <c r="G88" s="13" t="s">
        <v>511</v>
      </c>
      <c r="H88" s="4" t="str">
        <f t="shared" si="2"/>
        <v>Small (&lt;5k)</v>
      </c>
    </row>
    <row r="89" spans="1:9" x14ac:dyDescent="0.2">
      <c r="A89" s="15" t="s">
        <v>312</v>
      </c>
      <c r="B89" s="16" t="s">
        <v>2</v>
      </c>
      <c r="C89" s="2">
        <v>7931.52</v>
      </c>
      <c r="D89" s="2">
        <f>TPData[[#This Row],[Annual Contract Value (ACV)]]/12</f>
        <v>660.96</v>
      </c>
      <c r="E89" s="1">
        <v>43525</v>
      </c>
      <c r="F89" s="1">
        <f>EDATE(TPData[[#This Row],[Close Month]],11)</f>
        <v>43862</v>
      </c>
      <c r="G89" s="13" t="s">
        <v>511</v>
      </c>
      <c r="H89" s="4" t="str">
        <f t="shared" si="2"/>
        <v>Medium (&lt;10k)</v>
      </c>
    </row>
    <row r="90" spans="1:9" x14ac:dyDescent="0.2">
      <c r="A90" s="15" t="s">
        <v>313</v>
      </c>
      <c r="B90" s="16" t="s">
        <v>2</v>
      </c>
      <c r="C90" s="2">
        <v>11923.199999999999</v>
      </c>
      <c r="D90" s="2">
        <f>TPData[[#This Row],[Annual Contract Value (ACV)]]/12</f>
        <v>993.59999999999991</v>
      </c>
      <c r="E90" s="1">
        <v>43525</v>
      </c>
      <c r="F90" s="1">
        <f>EDATE(TPData[[#This Row],[Close Month]],11)</f>
        <v>43862</v>
      </c>
      <c r="G90" s="13" t="s">
        <v>511</v>
      </c>
      <c r="H90" s="4" t="str">
        <f t="shared" si="2"/>
        <v>Large (&lt;20k)</v>
      </c>
    </row>
    <row r="91" spans="1:9" x14ac:dyDescent="0.2">
      <c r="A91" s="15" t="s">
        <v>314</v>
      </c>
      <c r="B91" s="16" t="s">
        <v>2</v>
      </c>
      <c r="C91" s="2">
        <v>3337.2</v>
      </c>
      <c r="D91" s="2">
        <f>TPData[[#This Row],[Annual Contract Value (ACV)]]/12</f>
        <v>278.09999999999997</v>
      </c>
      <c r="E91" s="1">
        <v>43525</v>
      </c>
      <c r="F91" s="1">
        <f>EDATE(TPData[[#This Row],[Close Month]],11)</f>
        <v>43862</v>
      </c>
      <c r="G91" s="13" t="s">
        <v>511</v>
      </c>
      <c r="H91" s="4" t="str">
        <f t="shared" si="2"/>
        <v>Small (&lt;5k)</v>
      </c>
    </row>
    <row r="92" spans="1:9" x14ac:dyDescent="0.2">
      <c r="A92" s="15" t="s">
        <v>315</v>
      </c>
      <c r="B92" s="16" t="s">
        <v>2</v>
      </c>
      <c r="C92" s="2">
        <v>6220.8</v>
      </c>
      <c r="D92" s="2">
        <f>TPData[[#This Row],[Annual Contract Value (ACV)]]/12</f>
        <v>518.4</v>
      </c>
      <c r="E92" s="1">
        <v>43556</v>
      </c>
      <c r="F92" s="1">
        <f>EDATE(TPData[[#This Row],[Close Month]],11)</f>
        <v>43891</v>
      </c>
      <c r="G92" s="13" t="s">
        <v>511</v>
      </c>
      <c r="H92" s="4" t="str">
        <f t="shared" si="2"/>
        <v>Medium (&lt;10k)</v>
      </c>
    </row>
    <row r="93" spans="1:9" x14ac:dyDescent="0.2">
      <c r="A93" s="15" t="s">
        <v>316</v>
      </c>
      <c r="B93" s="16" t="s">
        <v>2</v>
      </c>
      <c r="C93" s="2">
        <v>14541.12</v>
      </c>
      <c r="D93" s="2">
        <f>TPData[[#This Row],[Annual Contract Value (ACV)]]/12</f>
        <v>1211.76</v>
      </c>
      <c r="E93" s="1">
        <v>43556</v>
      </c>
      <c r="F93" s="1">
        <f>EDATE(TPData[[#This Row],[Close Month]],11)</f>
        <v>43891</v>
      </c>
      <c r="G93" s="13" t="s">
        <v>511</v>
      </c>
      <c r="H93" s="4" t="str">
        <f t="shared" si="2"/>
        <v>Large (&lt;20k)</v>
      </c>
    </row>
    <row r="94" spans="1:9" x14ac:dyDescent="0.2">
      <c r="A94" s="15" t="s">
        <v>317</v>
      </c>
      <c r="B94" s="16" t="s">
        <v>2</v>
      </c>
      <c r="C94" s="2">
        <v>7416</v>
      </c>
      <c r="D94" s="2">
        <f>TPData[[#This Row],[Annual Contract Value (ACV)]]/12</f>
        <v>618</v>
      </c>
      <c r="E94" s="1">
        <v>43556</v>
      </c>
      <c r="F94" s="1">
        <f>EDATE(TPData[[#This Row],[Close Month]],11)</f>
        <v>43891</v>
      </c>
      <c r="G94" s="13" t="s">
        <v>511</v>
      </c>
      <c r="H94" s="4" t="str">
        <f t="shared" si="2"/>
        <v>Medium (&lt;10k)</v>
      </c>
    </row>
    <row r="95" spans="1:9" x14ac:dyDescent="0.2">
      <c r="A95" s="15" t="s">
        <v>318</v>
      </c>
      <c r="B95" s="16" t="s">
        <v>2</v>
      </c>
      <c r="C95" s="2">
        <v>1746</v>
      </c>
      <c r="D95" s="2">
        <f>TPData[[#This Row],[Annual Contract Value (ACV)]]/12</f>
        <v>145.5</v>
      </c>
      <c r="E95" s="1">
        <v>43556</v>
      </c>
      <c r="F95" s="1">
        <f>EDATE(TPData[[#This Row],[Close Month]],11)</f>
        <v>43891</v>
      </c>
      <c r="G95" s="13" t="s">
        <v>511</v>
      </c>
      <c r="H95" s="4" t="str">
        <f t="shared" si="2"/>
        <v>Small (&lt;5k)</v>
      </c>
    </row>
    <row r="96" spans="1:9" x14ac:dyDescent="0.2">
      <c r="A96" s="15" t="s">
        <v>319</v>
      </c>
      <c r="B96" s="16" t="s">
        <v>2</v>
      </c>
      <c r="C96" s="2">
        <v>3564</v>
      </c>
      <c r="D96" s="2">
        <f>TPData[[#This Row],[Annual Contract Value (ACV)]]/12</f>
        <v>297</v>
      </c>
      <c r="E96" s="1">
        <v>43556</v>
      </c>
      <c r="F96" s="1">
        <f>EDATE(TPData[[#This Row],[Close Month]],11)</f>
        <v>43891</v>
      </c>
      <c r="G96" s="13" t="s">
        <v>511</v>
      </c>
      <c r="H96" s="4" t="str">
        <f t="shared" si="2"/>
        <v>Small (&lt;5k)</v>
      </c>
    </row>
    <row r="97" spans="1:9" x14ac:dyDescent="0.2">
      <c r="A97" s="15" t="s">
        <v>320</v>
      </c>
      <c r="B97" s="16" t="s">
        <v>2</v>
      </c>
      <c r="C97" s="2">
        <v>4354.5600000000004</v>
      </c>
      <c r="D97" s="2">
        <f>TPData[[#This Row],[Annual Contract Value (ACV)]]/12</f>
        <v>362.88000000000005</v>
      </c>
      <c r="E97" s="1">
        <v>43556</v>
      </c>
      <c r="F97" s="1">
        <f>EDATE(TPData[[#This Row],[Close Month]],11)</f>
        <v>43891</v>
      </c>
      <c r="G97" s="13" t="s">
        <v>511</v>
      </c>
      <c r="H97" s="4" t="str">
        <f t="shared" si="2"/>
        <v>Small (&lt;5k)</v>
      </c>
    </row>
    <row r="98" spans="1:9" x14ac:dyDescent="0.2">
      <c r="A98" s="15" t="s">
        <v>321</v>
      </c>
      <c r="B98" s="16" t="s">
        <v>2</v>
      </c>
      <c r="C98" s="2">
        <v>15696.000000000002</v>
      </c>
      <c r="D98" s="2">
        <f>TPData[[#This Row],[Annual Contract Value (ACV)]]/12</f>
        <v>1308.0000000000002</v>
      </c>
      <c r="E98" s="1">
        <v>43556</v>
      </c>
      <c r="F98" s="1">
        <f>EDATE(TPData[[#This Row],[Close Month]],11)</f>
        <v>43891</v>
      </c>
      <c r="G98" s="13" t="s">
        <v>511</v>
      </c>
      <c r="H98" s="4" t="str">
        <f t="shared" si="2"/>
        <v>Large (&lt;20k)</v>
      </c>
    </row>
    <row r="99" spans="1:9" x14ac:dyDescent="0.2">
      <c r="A99" s="15" t="s">
        <v>322</v>
      </c>
      <c r="B99" s="16" t="s">
        <v>2</v>
      </c>
      <c r="C99" s="2">
        <v>3999.6</v>
      </c>
      <c r="D99" s="2">
        <f>TPData[[#This Row],[Annual Contract Value (ACV)]]/12</f>
        <v>333.3</v>
      </c>
      <c r="E99" s="1">
        <v>43556</v>
      </c>
      <c r="F99" s="1">
        <f>EDATE(TPData[[#This Row],[Close Month]],11)</f>
        <v>43891</v>
      </c>
      <c r="G99" s="13" t="s">
        <v>511</v>
      </c>
      <c r="H99" s="4" t="str">
        <f t="shared" si="2"/>
        <v>Small (&lt;5k)</v>
      </c>
    </row>
    <row r="100" spans="1:9" x14ac:dyDescent="0.2">
      <c r="A100" s="15" t="s">
        <v>323</v>
      </c>
      <c r="B100" s="16" t="s">
        <v>2</v>
      </c>
      <c r="C100" s="2">
        <v>6048</v>
      </c>
      <c r="D100" s="2">
        <f>TPData[[#This Row],[Annual Contract Value (ACV)]]/12</f>
        <v>504</v>
      </c>
      <c r="E100" s="1">
        <v>43586</v>
      </c>
      <c r="F100" s="1">
        <f>EDATE(TPData[[#This Row],[Close Month]],11)</f>
        <v>43922</v>
      </c>
      <c r="G100" s="13" t="s">
        <v>511</v>
      </c>
      <c r="H100" s="4" t="str">
        <f t="shared" si="2"/>
        <v>Medium (&lt;10k)</v>
      </c>
      <c r="I100" s="4"/>
    </row>
    <row r="101" spans="1:9" x14ac:dyDescent="0.2">
      <c r="A101" s="15" t="s">
        <v>324</v>
      </c>
      <c r="B101" s="16" t="s">
        <v>2</v>
      </c>
      <c r="C101" s="2">
        <v>10785.6</v>
      </c>
      <c r="D101" s="2">
        <f>TPData[[#This Row],[Annual Contract Value (ACV)]]/12</f>
        <v>898.80000000000007</v>
      </c>
      <c r="E101" s="1">
        <v>43586</v>
      </c>
      <c r="F101" s="1">
        <f>EDATE(TPData[[#This Row],[Close Month]],11)</f>
        <v>43922</v>
      </c>
      <c r="G101" s="13" t="s">
        <v>511</v>
      </c>
      <c r="H101" s="4" t="str">
        <f t="shared" si="2"/>
        <v>Large (&lt;20k)</v>
      </c>
      <c r="I101" s="4"/>
    </row>
    <row r="102" spans="1:9" x14ac:dyDescent="0.2">
      <c r="A102" s="15" t="s">
        <v>325</v>
      </c>
      <c r="B102" s="16" t="s">
        <v>2</v>
      </c>
      <c r="C102" s="2">
        <v>5042.5200000000004</v>
      </c>
      <c r="D102" s="2">
        <f>TPData[[#This Row],[Annual Contract Value (ACV)]]/12</f>
        <v>420.21000000000004</v>
      </c>
      <c r="E102" s="1">
        <v>43586</v>
      </c>
      <c r="F102" s="1">
        <f>EDATE(TPData[[#This Row],[Close Month]],11)</f>
        <v>43922</v>
      </c>
      <c r="G102" s="13" t="s">
        <v>511</v>
      </c>
      <c r="H102" s="4" t="str">
        <f t="shared" si="2"/>
        <v>Medium (&lt;10k)</v>
      </c>
      <c r="I102" s="4"/>
    </row>
    <row r="103" spans="1:9" x14ac:dyDescent="0.2">
      <c r="A103" s="15" t="s">
        <v>326</v>
      </c>
      <c r="B103" s="16" t="s">
        <v>2</v>
      </c>
      <c r="C103" s="2">
        <v>1540.8</v>
      </c>
      <c r="D103" s="2">
        <f>TPData[[#This Row],[Annual Contract Value (ACV)]]/12</f>
        <v>128.4</v>
      </c>
      <c r="E103" s="1">
        <v>43586</v>
      </c>
      <c r="F103" s="1">
        <f>EDATE(TPData[[#This Row],[Close Month]],11)</f>
        <v>43922</v>
      </c>
      <c r="G103" s="13" t="s">
        <v>511</v>
      </c>
      <c r="H103" s="4" t="str">
        <f t="shared" si="2"/>
        <v>Small (&lt;5k)</v>
      </c>
      <c r="I103" s="4"/>
    </row>
    <row r="104" spans="1:9" x14ac:dyDescent="0.2">
      <c r="A104" s="15" t="s">
        <v>327</v>
      </c>
      <c r="B104" s="16" t="s">
        <v>2</v>
      </c>
      <c r="C104" s="2">
        <v>1382.3999999999999</v>
      </c>
      <c r="D104" s="2">
        <f>TPData[[#This Row],[Annual Contract Value (ACV)]]/12</f>
        <v>115.19999999999999</v>
      </c>
      <c r="E104" s="1">
        <v>43586</v>
      </c>
      <c r="F104" s="1">
        <f>EDATE(TPData[[#This Row],[Close Month]],11)</f>
        <v>43922</v>
      </c>
      <c r="G104" s="13" t="s">
        <v>511</v>
      </c>
      <c r="H104" s="4" t="str">
        <f t="shared" si="2"/>
        <v>Small (&lt;5k)</v>
      </c>
      <c r="I104" s="4"/>
    </row>
    <row r="105" spans="1:9" x14ac:dyDescent="0.2">
      <c r="A105" s="15" t="s">
        <v>328</v>
      </c>
      <c r="B105" s="16" t="s">
        <v>2</v>
      </c>
      <c r="C105" s="2">
        <v>2246.4</v>
      </c>
      <c r="D105" s="2">
        <f>TPData[[#This Row],[Annual Contract Value (ACV)]]/12</f>
        <v>187.20000000000002</v>
      </c>
      <c r="E105" s="1">
        <v>43586</v>
      </c>
      <c r="F105" s="1">
        <f>EDATE(TPData[[#This Row],[Close Month]],11)</f>
        <v>43922</v>
      </c>
      <c r="G105" s="13" t="s">
        <v>511</v>
      </c>
      <c r="H105" s="4" t="str">
        <f t="shared" si="2"/>
        <v>Small (&lt;5k)</v>
      </c>
      <c r="I105" s="4"/>
    </row>
    <row r="106" spans="1:9" x14ac:dyDescent="0.2">
      <c r="A106" s="15" t="s">
        <v>379</v>
      </c>
      <c r="B106" s="16" t="s">
        <v>2</v>
      </c>
      <c r="C106" s="2">
        <v>3528</v>
      </c>
      <c r="D106" s="2">
        <f>TPData[[#This Row],[Annual Contract Value (ACV)]]/12</f>
        <v>294</v>
      </c>
      <c r="E106" s="1">
        <v>43313</v>
      </c>
      <c r="F106" s="1">
        <f>EDATE(TPData[[#This Row],[Close Month]],11)</f>
        <v>43647</v>
      </c>
      <c r="G106" s="13" t="s">
        <v>512</v>
      </c>
      <c r="H106" s="4" t="str">
        <f t="shared" si="2"/>
        <v>Small (&lt;5k)</v>
      </c>
    </row>
    <row r="107" spans="1:9" x14ac:dyDescent="0.2">
      <c r="A107" s="15" t="s">
        <v>380</v>
      </c>
      <c r="B107" s="16" t="s">
        <v>2</v>
      </c>
      <c r="C107" s="2">
        <v>28005.120000000003</v>
      </c>
      <c r="D107" s="2">
        <f>TPData[[#This Row],[Annual Contract Value (ACV)]]/12</f>
        <v>2333.7600000000002</v>
      </c>
      <c r="E107" s="1">
        <v>43313</v>
      </c>
      <c r="F107" s="1">
        <f>EDATE(TPData[[#This Row],[Close Month]],11)</f>
        <v>43647</v>
      </c>
      <c r="G107" s="13" t="s">
        <v>512</v>
      </c>
      <c r="H107" s="4" t="str">
        <f t="shared" si="2"/>
        <v>Mega (20k+)</v>
      </c>
    </row>
    <row r="108" spans="1:9" x14ac:dyDescent="0.2">
      <c r="A108" s="15" t="s">
        <v>524</v>
      </c>
      <c r="B108" s="16" t="s">
        <v>2</v>
      </c>
      <c r="C108" s="2">
        <v>9752</v>
      </c>
      <c r="D108" s="2">
        <f>TPData[[#This Row],[Annual Contract Value (ACV)]]/12</f>
        <v>812.66666666666663</v>
      </c>
      <c r="E108" s="1">
        <v>43282</v>
      </c>
      <c r="F108" s="1">
        <f>EDATE(TPData[[#This Row],[Close Month]],11)</f>
        <v>43617</v>
      </c>
      <c r="G108" s="13" t="s">
        <v>512</v>
      </c>
      <c r="H108" s="4" t="str">
        <f t="shared" si="2"/>
        <v>Medium (&lt;10k)</v>
      </c>
    </row>
    <row r="109" spans="1:9" x14ac:dyDescent="0.2">
      <c r="A109" s="15" t="s">
        <v>525</v>
      </c>
      <c r="B109" s="16" t="s">
        <v>2</v>
      </c>
      <c r="C109" s="2">
        <v>2597</v>
      </c>
      <c r="D109" s="2">
        <f>TPData[[#This Row],[Annual Contract Value (ACV)]]/12</f>
        <v>216.41666666666666</v>
      </c>
      <c r="E109" s="1">
        <v>43282</v>
      </c>
      <c r="F109" s="1">
        <f>EDATE(TPData[[#This Row],[Close Month]],11)</f>
        <v>43617</v>
      </c>
      <c r="G109" s="13" t="s">
        <v>512</v>
      </c>
      <c r="H109" s="4" t="str">
        <f t="shared" si="2"/>
        <v>Small (&lt;5k)</v>
      </c>
    </row>
    <row r="110" spans="1:9" x14ac:dyDescent="0.2">
      <c r="A110" s="15" t="s">
        <v>381</v>
      </c>
      <c r="B110" s="16" t="s">
        <v>2</v>
      </c>
      <c r="C110" s="2">
        <v>6491.52</v>
      </c>
      <c r="D110" s="2">
        <f>TPData[[#This Row],[Annual Contract Value (ACV)]]/12</f>
        <v>540.96</v>
      </c>
      <c r="E110" s="1">
        <v>43313</v>
      </c>
      <c r="F110" s="1">
        <f>EDATE(TPData[[#This Row],[Close Month]],11)</f>
        <v>43647</v>
      </c>
      <c r="G110" s="13" t="s">
        <v>512</v>
      </c>
      <c r="H110" s="4" t="str">
        <f t="shared" si="2"/>
        <v>Medium (&lt;10k)</v>
      </c>
    </row>
    <row r="111" spans="1:9" x14ac:dyDescent="0.2">
      <c r="A111" s="15" t="s">
        <v>382</v>
      </c>
      <c r="B111" s="16" t="s">
        <v>2</v>
      </c>
      <c r="C111" s="2">
        <v>1526.3999999999999</v>
      </c>
      <c r="D111" s="2">
        <f>TPData[[#This Row],[Annual Contract Value (ACV)]]/12</f>
        <v>127.19999999999999</v>
      </c>
      <c r="E111" s="1">
        <v>43313</v>
      </c>
      <c r="F111" s="1">
        <f>EDATE(TPData[[#This Row],[Close Month]],11)</f>
        <v>43647</v>
      </c>
      <c r="G111" s="13" t="s">
        <v>512</v>
      </c>
      <c r="H111" s="4" t="str">
        <f t="shared" si="2"/>
        <v>Small (&lt;5k)</v>
      </c>
    </row>
    <row r="112" spans="1:9" x14ac:dyDescent="0.2">
      <c r="A112" s="15" t="s">
        <v>383</v>
      </c>
      <c r="B112" s="16" t="s">
        <v>2</v>
      </c>
      <c r="C112" s="2">
        <v>2995.2</v>
      </c>
      <c r="D112" s="2">
        <f>TPData[[#This Row],[Annual Contract Value (ACV)]]/12</f>
        <v>249.6</v>
      </c>
      <c r="E112" s="1">
        <v>43344</v>
      </c>
      <c r="F112" s="1">
        <f>EDATE(TPData[[#This Row],[Close Month]],11)</f>
        <v>43678</v>
      </c>
      <c r="G112" s="13" t="s">
        <v>512</v>
      </c>
      <c r="H112" s="4" t="str">
        <f t="shared" si="2"/>
        <v>Small (&lt;5k)</v>
      </c>
    </row>
    <row r="113" spans="1:9" x14ac:dyDescent="0.2">
      <c r="A113" s="15" t="s">
        <v>384</v>
      </c>
      <c r="B113" s="16" t="s">
        <v>2</v>
      </c>
      <c r="C113" s="2">
        <v>15120</v>
      </c>
      <c r="D113" s="2">
        <f>TPData[[#This Row],[Annual Contract Value (ACV)]]/12</f>
        <v>1260</v>
      </c>
      <c r="E113" s="1">
        <v>43344</v>
      </c>
      <c r="F113" s="1">
        <f>EDATE(TPData[[#This Row],[Close Month]],11)</f>
        <v>43678</v>
      </c>
      <c r="G113" s="13" t="s">
        <v>512</v>
      </c>
      <c r="H113" s="4" t="str">
        <f t="shared" si="2"/>
        <v>Large (&lt;20k)</v>
      </c>
    </row>
    <row r="114" spans="1:9" x14ac:dyDescent="0.2">
      <c r="A114" s="15" t="s">
        <v>385</v>
      </c>
      <c r="B114" s="16" t="s">
        <v>2</v>
      </c>
      <c r="C114" s="2">
        <v>5529.5999999999995</v>
      </c>
      <c r="D114" s="2">
        <f>TPData[[#This Row],[Annual Contract Value (ACV)]]/12</f>
        <v>460.79999999999995</v>
      </c>
      <c r="E114" s="1">
        <v>43344</v>
      </c>
      <c r="F114" s="1">
        <f>EDATE(TPData[[#This Row],[Close Month]],11)</f>
        <v>43678</v>
      </c>
      <c r="G114" s="13" t="s">
        <v>512</v>
      </c>
      <c r="H114" s="4" t="str">
        <f t="shared" si="2"/>
        <v>Medium (&lt;10k)</v>
      </c>
    </row>
    <row r="115" spans="1:9" x14ac:dyDescent="0.2">
      <c r="A115" s="15" t="s">
        <v>386</v>
      </c>
      <c r="B115" s="16" t="s">
        <v>2</v>
      </c>
      <c r="C115" s="2">
        <v>1324.8</v>
      </c>
      <c r="D115" s="2">
        <f>TPData[[#This Row],[Annual Contract Value (ACV)]]/12</f>
        <v>110.39999999999999</v>
      </c>
      <c r="E115" s="1">
        <v>43344</v>
      </c>
      <c r="F115" s="1">
        <f>EDATE(TPData[[#This Row],[Close Month]],11)</f>
        <v>43678</v>
      </c>
      <c r="G115" s="13" t="s">
        <v>512</v>
      </c>
      <c r="H115" s="4" t="str">
        <f t="shared" si="2"/>
        <v>Small (&lt;5k)</v>
      </c>
    </row>
    <row r="116" spans="1:9" x14ac:dyDescent="0.2">
      <c r="A116" s="15" t="s">
        <v>387</v>
      </c>
      <c r="B116" s="16" t="s">
        <v>2</v>
      </c>
      <c r="C116" s="2">
        <v>1526.3999999999999</v>
      </c>
      <c r="D116" s="2">
        <f>TPData[[#This Row],[Annual Contract Value (ACV)]]/12</f>
        <v>127.19999999999999</v>
      </c>
      <c r="E116" s="1">
        <v>43374</v>
      </c>
      <c r="F116" s="1">
        <f>EDATE(TPData[[#This Row],[Close Month]],11)</f>
        <v>43709</v>
      </c>
      <c r="G116" s="13" t="s">
        <v>512</v>
      </c>
      <c r="H116" s="4" t="str">
        <f t="shared" si="2"/>
        <v>Small (&lt;5k)</v>
      </c>
      <c r="I116" s="5"/>
    </row>
    <row r="117" spans="1:9" x14ac:dyDescent="0.2">
      <c r="A117" s="15" t="s">
        <v>388</v>
      </c>
      <c r="B117" s="16" t="s">
        <v>2</v>
      </c>
      <c r="C117" s="2">
        <v>17280</v>
      </c>
      <c r="D117" s="2">
        <f>TPData[[#This Row],[Annual Contract Value (ACV)]]/12</f>
        <v>1440</v>
      </c>
      <c r="E117" s="1">
        <v>43374</v>
      </c>
      <c r="F117" s="1">
        <f>EDATE(TPData[[#This Row],[Close Month]],11)</f>
        <v>43709</v>
      </c>
      <c r="G117" s="13" t="s">
        <v>512</v>
      </c>
      <c r="H117" s="4" t="str">
        <f t="shared" si="2"/>
        <v>Large (&lt;20k)</v>
      </c>
      <c r="I117" s="5"/>
    </row>
    <row r="118" spans="1:9" x14ac:dyDescent="0.2">
      <c r="A118" s="15" t="s">
        <v>389</v>
      </c>
      <c r="B118" s="16" t="s">
        <v>2</v>
      </c>
      <c r="C118" s="2">
        <v>2354.4</v>
      </c>
      <c r="D118" s="2">
        <f>TPData[[#This Row],[Annual Contract Value (ACV)]]/12</f>
        <v>196.20000000000002</v>
      </c>
      <c r="E118" s="1">
        <v>43374</v>
      </c>
      <c r="F118" s="1">
        <f>EDATE(TPData[[#This Row],[Close Month]],11)</f>
        <v>43709</v>
      </c>
      <c r="G118" s="13" t="s">
        <v>512</v>
      </c>
      <c r="H118" s="4" t="str">
        <f t="shared" si="2"/>
        <v>Small (&lt;5k)</v>
      </c>
      <c r="I118" s="5"/>
    </row>
    <row r="119" spans="1:9" x14ac:dyDescent="0.2">
      <c r="A119" s="15" t="s">
        <v>390</v>
      </c>
      <c r="B119" s="16" t="s">
        <v>2</v>
      </c>
      <c r="C119" s="2">
        <v>18900</v>
      </c>
      <c r="D119" s="2">
        <f>TPData[[#This Row],[Annual Contract Value (ACV)]]/12</f>
        <v>1575</v>
      </c>
      <c r="E119" s="1">
        <v>43374</v>
      </c>
      <c r="F119" s="1">
        <f>EDATE(TPData[[#This Row],[Close Month]],11)</f>
        <v>43709</v>
      </c>
      <c r="G119" s="13" t="s">
        <v>512</v>
      </c>
      <c r="H119" s="4" t="str">
        <f t="shared" si="2"/>
        <v>Large (&lt;20k)</v>
      </c>
      <c r="I119" s="5"/>
    </row>
    <row r="120" spans="1:9" x14ac:dyDescent="0.2">
      <c r="A120" s="15" t="s">
        <v>391</v>
      </c>
      <c r="B120" s="16" t="s">
        <v>2</v>
      </c>
      <c r="C120" s="2">
        <v>7776</v>
      </c>
      <c r="D120" s="2">
        <f>TPData[[#This Row],[Annual Contract Value (ACV)]]/12</f>
        <v>648</v>
      </c>
      <c r="E120" s="1">
        <v>43374</v>
      </c>
      <c r="F120" s="1">
        <f>EDATE(TPData[[#This Row],[Close Month]],11)</f>
        <v>43709</v>
      </c>
      <c r="G120" s="13" t="s">
        <v>512</v>
      </c>
      <c r="H120" s="4" t="str">
        <f t="shared" si="2"/>
        <v>Medium (&lt;10k)</v>
      </c>
      <c r="I120" s="5"/>
    </row>
    <row r="121" spans="1:9" x14ac:dyDescent="0.2">
      <c r="A121" s="15" t="s">
        <v>392</v>
      </c>
      <c r="B121" s="16" t="s">
        <v>2</v>
      </c>
      <c r="C121" s="2">
        <v>5702.4</v>
      </c>
      <c r="D121" s="2">
        <f>TPData[[#This Row],[Annual Contract Value (ACV)]]/12</f>
        <v>475.2</v>
      </c>
      <c r="E121" s="1">
        <v>43374</v>
      </c>
      <c r="F121" s="1">
        <f>EDATE(TPData[[#This Row],[Close Month]],11)</f>
        <v>43709</v>
      </c>
      <c r="G121" s="13" t="s">
        <v>512</v>
      </c>
      <c r="H121" s="4" t="str">
        <f t="shared" si="2"/>
        <v>Medium (&lt;10k)</v>
      </c>
      <c r="I121" s="5"/>
    </row>
    <row r="122" spans="1:9" x14ac:dyDescent="0.2">
      <c r="A122" s="15" t="s">
        <v>393</v>
      </c>
      <c r="B122" s="16" t="s">
        <v>2</v>
      </c>
      <c r="C122" s="2">
        <v>13104</v>
      </c>
      <c r="D122" s="2">
        <f>TPData[[#This Row],[Annual Contract Value (ACV)]]/12</f>
        <v>1092</v>
      </c>
      <c r="E122" s="1">
        <v>43405</v>
      </c>
      <c r="F122" s="1">
        <f>EDATE(TPData[[#This Row],[Close Month]],11)</f>
        <v>43739</v>
      </c>
      <c r="G122" s="13" t="s">
        <v>512</v>
      </c>
      <c r="H122" s="4" t="str">
        <f t="shared" si="2"/>
        <v>Large (&lt;20k)</v>
      </c>
      <c r="I122" s="5"/>
    </row>
    <row r="123" spans="1:9" x14ac:dyDescent="0.2">
      <c r="A123" s="15" t="s">
        <v>394</v>
      </c>
      <c r="B123" s="16" t="s">
        <v>2</v>
      </c>
      <c r="C123" s="2">
        <v>17962.559999999998</v>
      </c>
      <c r="D123" s="2">
        <f>TPData[[#This Row],[Annual Contract Value (ACV)]]/12</f>
        <v>1496.8799999999999</v>
      </c>
      <c r="E123" s="1">
        <v>43405</v>
      </c>
      <c r="F123" s="1">
        <f>EDATE(TPData[[#This Row],[Close Month]],11)</f>
        <v>43739</v>
      </c>
      <c r="G123" s="13" t="s">
        <v>512</v>
      </c>
      <c r="H123" s="4" t="str">
        <f t="shared" si="2"/>
        <v>Large (&lt;20k)</v>
      </c>
      <c r="I123" s="5"/>
    </row>
    <row r="124" spans="1:9" x14ac:dyDescent="0.2">
      <c r="A124" s="15" t="s">
        <v>395</v>
      </c>
      <c r="B124" s="16" t="s">
        <v>2</v>
      </c>
      <c r="C124" s="2">
        <v>5184</v>
      </c>
      <c r="D124" s="2">
        <f>TPData[[#This Row],[Annual Contract Value (ACV)]]/12</f>
        <v>432</v>
      </c>
      <c r="E124" s="1">
        <v>43405</v>
      </c>
      <c r="F124" s="1">
        <f>EDATE(TPData[[#This Row],[Close Month]],11)</f>
        <v>43739</v>
      </c>
      <c r="G124" s="13" t="s">
        <v>512</v>
      </c>
      <c r="H124" s="4" t="str">
        <f t="shared" si="2"/>
        <v>Medium (&lt;10k)</v>
      </c>
      <c r="I124" s="5"/>
    </row>
    <row r="125" spans="1:9" x14ac:dyDescent="0.2">
      <c r="A125" s="15" t="s">
        <v>396</v>
      </c>
      <c r="B125" s="16" t="s">
        <v>2</v>
      </c>
      <c r="C125" s="2">
        <v>4622.3999999999996</v>
      </c>
      <c r="D125" s="2">
        <f>TPData[[#This Row],[Annual Contract Value (ACV)]]/12</f>
        <v>385.2</v>
      </c>
      <c r="E125" s="1">
        <v>43435</v>
      </c>
      <c r="F125" s="1">
        <f>EDATE(TPData[[#This Row],[Close Month]],11)</f>
        <v>43770</v>
      </c>
      <c r="G125" s="13" t="s">
        <v>512</v>
      </c>
      <c r="H125" s="4" t="str">
        <f t="shared" si="2"/>
        <v>Small (&lt;5k)</v>
      </c>
      <c r="I125" s="5"/>
    </row>
    <row r="126" spans="1:9" x14ac:dyDescent="0.2">
      <c r="A126" s="15" t="s">
        <v>397</v>
      </c>
      <c r="B126" s="16" t="s">
        <v>2</v>
      </c>
      <c r="C126" s="2">
        <v>1872</v>
      </c>
      <c r="D126" s="2">
        <f>TPData[[#This Row],[Annual Contract Value (ACV)]]/12</f>
        <v>156</v>
      </c>
      <c r="E126" s="1">
        <v>43435</v>
      </c>
      <c r="F126" s="1">
        <f>EDATE(TPData[[#This Row],[Close Month]],11)</f>
        <v>43770</v>
      </c>
      <c r="G126" s="13" t="s">
        <v>512</v>
      </c>
      <c r="H126" s="4" t="str">
        <f t="shared" si="2"/>
        <v>Small (&lt;5k)</v>
      </c>
      <c r="I126" s="5"/>
    </row>
    <row r="127" spans="1:9" x14ac:dyDescent="0.2">
      <c r="A127" s="15" t="s">
        <v>398</v>
      </c>
      <c r="B127" s="16" t="s">
        <v>2</v>
      </c>
      <c r="C127" s="2">
        <v>10281.6</v>
      </c>
      <c r="D127" s="2">
        <f>TPData[[#This Row],[Annual Contract Value (ACV)]]/12</f>
        <v>856.80000000000007</v>
      </c>
      <c r="E127" s="1">
        <v>43435</v>
      </c>
      <c r="F127" s="1">
        <f>EDATE(TPData[[#This Row],[Close Month]],11)</f>
        <v>43770</v>
      </c>
      <c r="G127" s="13" t="s">
        <v>512</v>
      </c>
      <c r="H127" s="4" t="str">
        <f t="shared" si="2"/>
        <v>Large (&lt;20k)</v>
      </c>
      <c r="I127" s="5"/>
    </row>
    <row r="128" spans="1:9" x14ac:dyDescent="0.2">
      <c r="A128" s="15" t="s">
        <v>399</v>
      </c>
      <c r="B128" s="16" t="s">
        <v>2</v>
      </c>
      <c r="C128" s="2">
        <v>11198.88</v>
      </c>
      <c r="D128" s="2">
        <f>TPData[[#This Row],[Annual Contract Value (ACV)]]/12</f>
        <v>933.2399999999999</v>
      </c>
      <c r="E128" s="1">
        <v>43435</v>
      </c>
      <c r="F128" s="1">
        <f>EDATE(TPData[[#This Row],[Close Month]],11)</f>
        <v>43770</v>
      </c>
      <c r="G128" s="13" t="s">
        <v>512</v>
      </c>
      <c r="H128" s="4" t="str">
        <f t="shared" si="2"/>
        <v>Large (&lt;20k)</v>
      </c>
      <c r="I128" s="5"/>
    </row>
    <row r="129" spans="1:9" x14ac:dyDescent="0.2">
      <c r="A129" s="15" t="s">
        <v>400</v>
      </c>
      <c r="B129" s="16" t="s">
        <v>2</v>
      </c>
      <c r="C129" s="2">
        <v>5875.2</v>
      </c>
      <c r="D129" s="2">
        <f>TPData[[#This Row],[Annual Contract Value (ACV)]]/12</f>
        <v>489.59999999999997</v>
      </c>
      <c r="E129" s="1">
        <v>43466</v>
      </c>
      <c r="F129" s="1">
        <f>EDATE(TPData[[#This Row],[Close Month]],11)</f>
        <v>43800</v>
      </c>
      <c r="G129" s="13" t="s">
        <v>512</v>
      </c>
      <c r="H129" s="4" t="str">
        <f t="shared" si="2"/>
        <v>Medium (&lt;10k)</v>
      </c>
    </row>
    <row r="130" spans="1:9" x14ac:dyDescent="0.2">
      <c r="A130" s="15" t="s">
        <v>401</v>
      </c>
      <c r="B130" s="16" t="s">
        <v>2</v>
      </c>
      <c r="C130" s="2">
        <v>2842.84944</v>
      </c>
      <c r="D130" s="2">
        <f>TPData[[#This Row],[Annual Contract Value (ACV)]]/12</f>
        <v>236.90412000000001</v>
      </c>
      <c r="E130" s="1">
        <v>43466</v>
      </c>
      <c r="F130" s="1">
        <f>EDATE(TPData[[#This Row],[Close Month]],11)</f>
        <v>43800</v>
      </c>
      <c r="G130" s="13" t="s">
        <v>512</v>
      </c>
      <c r="H130" s="4" t="str">
        <f t="shared" ref="H130:H193" si="3">IF(C130&lt;=5000,$J$5,IF((C130&lt;10000),$J$6,IF((C130&lt;20000),$J$7,IF((C130&gt;=20000),$J$8))))</f>
        <v>Small (&lt;5k)</v>
      </c>
    </row>
    <row r="131" spans="1:9" x14ac:dyDescent="0.2">
      <c r="A131" s="15" t="s">
        <v>402</v>
      </c>
      <c r="B131" s="16" t="s">
        <v>2</v>
      </c>
      <c r="C131" s="2">
        <v>28812.960000000003</v>
      </c>
      <c r="D131" s="2">
        <f>TPData[[#This Row],[Annual Contract Value (ACV)]]/12</f>
        <v>2401.0800000000004</v>
      </c>
      <c r="E131" s="1">
        <v>43466</v>
      </c>
      <c r="F131" s="1">
        <f>EDATE(TPData[[#This Row],[Close Month]],11)</f>
        <v>43800</v>
      </c>
      <c r="G131" s="13" t="s">
        <v>512</v>
      </c>
      <c r="H131" s="4" t="str">
        <f t="shared" si="3"/>
        <v>Mega (20k+)</v>
      </c>
    </row>
    <row r="132" spans="1:9" x14ac:dyDescent="0.2">
      <c r="A132" s="15" t="s">
        <v>403</v>
      </c>
      <c r="B132" s="16" t="s">
        <v>2</v>
      </c>
      <c r="C132" s="2">
        <v>10977.12</v>
      </c>
      <c r="D132" s="2">
        <f>TPData[[#This Row],[Annual Contract Value (ACV)]]/12</f>
        <v>914.7600000000001</v>
      </c>
      <c r="E132" s="1">
        <v>43466</v>
      </c>
      <c r="F132" s="1">
        <f>EDATE(TPData[[#This Row],[Close Month]],11)</f>
        <v>43800</v>
      </c>
      <c r="G132" s="13" t="s">
        <v>512</v>
      </c>
      <c r="H132" s="4" t="str">
        <f t="shared" si="3"/>
        <v>Large (&lt;20k)</v>
      </c>
    </row>
    <row r="133" spans="1:9" x14ac:dyDescent="0.2">
      <c r="A133" s="15" t="s">
        <v>404</v>
      </c>
      <c r="B133" s="16" t="s">
        <v>2</v>
      </c>
      <c r="C133" s="2">
        <v>25974.748799999998</v>
      </c>
      <c r="D133" s="2">
        <f>TPData[[#This Row],[Annual Contract Value (ACV)]]/12</f>
        <v>2164.5623999999998</v>
      </c>
      <c r="E133" s="1">
        <v>43497</v>
      </c>
      <c r="F133" s="1">
        <f>EDATE(TPData[[#This Row],[Close Month]],11)</f>
        <v>43831</v>
      </c>
      <c r="G133" s="13" t="s">
        <v>512</v>
      </c>
      <c r="H133" s="4" t="str">
        <f t="shared" si="3"/>
        <v>Mega (20k+)</v>
      </c>
      <c r="I133" s="4"/>
    </row>
    <row r="134" spans="1:9" x14ac:dyDescent="0.2">
      <c r="A134" s="15" t="s">
        <v>405</v>
      </c>
      <c r="B134" s="16" t="s">
        <v>2</v>
      </c>
      <c r="C134" s="2">
        <v>3888</v>
      </c>
      <c r="D134" s="2">
        <f>TPData[[#This Row],[Annual Contract Value (ACV)]]/12</f>
        <v>324</v>
      </c>
      <c r="E134" s="1">
        <v>43497</v>
      </c>
      <c r="F134" s="1">
        <f>EDATE(TPData[[#This Row],[Close Month]],11)</f>
        <v>43831</v>
      </c>
      <c r="G134" s="13" t="s">
        <v>512</v>
      </c>
      <c r="H134" s="4" t="str">
        <f t="shared" si="3"/>
        <v>Small (&lt;5k)</v>
      </c>
      <c r="I134" s="4"/>
    </row>
    <row r="135" spans="1:9" x14ac:dyDescent="0.2">
      <c r="A135" s="15" t="s">
        <v>406</v>
      </c>
      <c r="B135" s="16" t="s">
        <v>2</v>
      </c>
      <c r="C135" s="2">
        <v>6480</v>
      </c>
      <c r="D135" s="2">
        <f>TPData[[#This Row],[Annual Contract Value (ACV)]]/12</f>
        <v>540</v>
      </c>
      <c r="E135" s="1">
        <v>43525</v>
      </c>
      <c r="F135" s="1">
        <f>EDATE(TPData[[#This Row],[Close Month]],11)</f>
        <v>43862</v>
      </c>
      <c r="G135" s="13" t="s">
        <v>512</v>
      </c>
      <c r="H135" s="4" t="str">
        <f t="shared" si="3"/>
        <v>Medium (&lt;10k)</v>
      </c>
    </row>
    <row r="136" spans="1:9" x14ac:dyDescent="0.2">
      <c r="A136" s="15" t="s">
        <v>407</v>
      </c>
      <c r="B136" s="16" t="s">
        <v>2</v>
      </c>
      <c r="C136" s="2">
        <v>1638</v>
      </c>
      <c r="D136" s="2">
        <f>TPData[[#This Row],[Annual Contract Value (ACV)]]/12</f>
        <v>136.5</v>
      </c>
      <c r="E136" s="1">
        <v>43525</v>
      </c>
      <c r="F136" s="1">
        <f>EDATE(TPData[[#This Row],[Close Month]],11)</f>
        <v>43862</v>
      </c>
      <c r="G136" s="13" t="s">
        <v>512</v>
      </c>
      <c r="H136" s="4" t="str">
        <f t="shared" si="3"/>
        <v>Small (&lt;5k)</v>
      </c>
    </row>
    <row r="137" spans="1:9" x14ac:dyDescent="0.2">
      <c r="A137" s="15" t="s">
        <v>408</v>
      </c>
      <c r="B137" s="16" t="s">
        <v>2</v>
      </c>
      <c r="C137" s="2">
        <v>3816</v>
      </c>
      <c r="D137" s="2">
        <f>TPData[[#This Row],[Annual Contract Value (ACV)]]/12</f>
        <v>318</v>
      </c>
      <c r="E137" s="1">
        <v>43525</v>
      </c>
      <c r="F137" s="1">
        <f>EDATE(TPData[[#This Row],[Close Month]],11)</f>
        <v>43862</v>
      </c>
      <c r="G137" s="13" t="s">
        <v>512</v>
      </c>
      <c r="H137" s="4" t="str">
        <f t="shared" si="3"/>
        <v>Small (&lt;5k)</v>
      </c>
    </row>
    <row r="138" spans="1:9" x14ac:dyDescent="0.2">
      <c r="A138" s="15" t="s">
        <v>409</v>
      </c>
      <c r="B138" s="16" t="s">
        <v>2</v>
      </c>
      <c r="C138" s="2">
        <v>3852</v>
      </c>
      <c r="D138" s="2">
        <f>TPData[[#This Row],[Annual Contract Value (ACV)]]/12</f>
        <v>321</v>
      </c>
      <c r="E138" s="1">
        <v>43525</v>
      </c>
      <c r="F138" s="1">
        <f>EDATE(TPData[[#This Row],[Close Month]],11)</f>
        <v>43862</v>
      </c>
      <c r="G138" s="13" t="s">
        <v>512</v>
      </c>
      <c r="H138" s="4" t="str">
        <f t="shared" si="3"/>
        <v>Small (&lt;5k)</v>
      </c>
    </row>
    <row r="139" spans="1:9" x14ac:dyDescent="0.2">
      <c r="A139" s="15" t="s">
        <v>410</v>
      </c>
      <c r="B139" s="16" t="s">
        <v>2</v>
      </c>
      <c r="C139" s="2">
        <v>13968</v>
      </c>
      <c r="D139" s="2">
        <f>TPData[[#This Row],[Annual Contract Value (ACV)]]/12</f>
        <v>1164</v>
      </c>
      <c r="E139" s="1">
        <v>43525</v>
      </c>
      <c r="F139" s="1">
        <f>EDATE(TPData[[#This Row],[Close Month]],11)</f>
        <v>43862</v>
      </c>
      <c r="G139" s="13" t="s">
        <v>512</v>
      </c>
      <c r="H139" s="4" t="str">
        <f t="shared" si="3"/>
        <v>Large (&lt;20k)</v>
      </c>
    </row>
    <row r="140" spans="1:9" x14ac:dyDescent="0.2">
      <c r="A140" s="15" t="s">
        <v>411</v>
      </c>
      <c r="B140" s="16" t="s">
        <v>2</v>
      </c>
      <c r="C140" s="2">
        <v>10713.6</v>
      </c>
      <c r="D140" s="2">
        <f>TPData[[#This Row],[Annual Contract Value (ACV)]]/12</f>
        <v>892.80000000000007</v>
      </c>
      <c r="E140" s="1">
        <v>43525</v>
      </c>
      <c r="F140" s="1">
        <f>EDATE(TPData[[#This Row],[Close Month]],11)</f>
        <v>43862</v>
      </c>
      <c r="G140" s="13" t="s">
        <v>512</v>
      </c>
      <c r="H140" s="4" t="str">
        <f t="shared" si="3"/>
        <v>Large (&lt;20k)</v>
      </c>
    </row>
    <row r="141" spans="1:9" x14ac:dyDescent="0.2">
      <c r="A141" s="15" t="s">
        <v>412</v>
      </c>
      <c r="B141" s="16" t="s">
        <v>2</v>
      </c>
      <c r="C141" s="2">
        <v>1540.8</v>
      </c>
      <c r="D141" s="2">
        <f>TPData[[#This Row],[Annual Contract Value (ACV)]]/12</f>
        <v>128.4</v>
      </c>
      <c r="E141" s="1">
        <v>43556</v>
      </c>
      <c r="F141" s="1">
        <f>EDATE(TPData[[#This Row],[Close Month]],11)</f>
        <v>43891</v>
      </c>
      <c r="G141" s="13" t="s">
        <v>512</v>
      </c>
      <c r="H141" s="4" t="str">
        <f t="shared" si="3"/>
        <v>Small (&lt;5k)</v>
      </c>
    </row>
    <row r="142" spans="1:9" x14ac:dyDescent="0.2">
      <c r="A142" s="15" t="s">
        <v>413</v>
      </c>
      <c r="B142" s="16" t="s">
        <v>2</v>
      </c>
      <c r="C142" s="2">
        <v>6350.4</v>
      </c>
      <c r="D142" s="2">
        <f>TPData[[#This Row],[Annual Contract Value (ACV)]]/12</f>
        <v>529.19999999999993</v>
      </c>
      <c r="E142" s="1">
        <v>43556</v>
      </c>
      <c r="F142" s="1">
        <f>EDATE(TPData[[#This Row],[Close Month]],11)</f>
        <v>43891</v>
      </c>
      <c r="G142" s="13" t="s">
        <v>512</v>
      </c>
      <c r="H142" s="4" t="str">
        <f t="shared" si="3"/>
        <v>Medium (&lt;10k)</v>
      </c>
    </row>
    <row r="143" spans="1:9" x14ac:dyDescent="0.2">
      <c r="A143" s="15" t="s">
        <v>414</v>
      </c>
      <c r="B143" s="16" t="s">
        <v>2</v>
      </c>
      <c r="C143" s="2">
        <v>1425.6</v>
      </c>
      <c r="D143" s="2">
        <f>TPData[[#This Row],[Annual Contract Value (ACV)]]/12</f>
        <v>118.8</v>
      </c>
      <c r="E143" s="1">
        <v>43556</v>
      </c>
      <c r="F143" s="1">
        <f>EDATE(TPData[[#This Row],[Close Month]],11)</f>
        <v>43891</v>
      </c>
      <c r="G143" s="13" t="s">
        <v>512</v>
      </c>
      <c r="H143" s="4" t="str">
        <f t="shared" si="3"/>
        <v>Small (&lt;5k)</v>
      </c>
    </row>
    <row r="144" spans="1:9" x14ac:dyDescent="0.2">
      <c r="A144" s="15" t="s">
        <v>415</v>
      </c>
      <c r="B144" s="16" t="s">
        <v>2</v>
      </c>
      <c r="C144" s="2">
        <v>11649.456</v>
      </c>
      <c r="D144" s="2">
        <f>TPData[[#This Row],[Annual Contract Value (ACV)]]/12</f>
        <v>970.78800000000001</v>
      </c>
      <c r="E144" s="1">
        <v>43556</v>
      </c>
      <c r="F144" s="1">
        <f>EDATE(TPData[[#This Row],[Close Month]],11)</f>
        <v>43891</v>
      </c>
      <c r="G144" s="13" t="s">
        <v>512</v>
      </c>
      <c r="H144" s="4" t="str">
        <f t="shared" si="3"/>
        <v>Large (&lt;20k)</v>
      </c>
    </row>
    <row r="145" spans="1:9" x14ac:dyDescent="0.2">
      <c r="A145" s="15" t="s">
        <v>416</v>
      </c>
      <c r="B145" s="16" t="s">
        <v>2</v>
      </c>
      <c r="C145" s="2">
        <v>662.4</v>
      </c>
      <c r="D145" s="2">
        <f>TPData[[#This Row],[Annual Contract Value (ACV)]]/12</f>
        <v>55.199999999999996</v>
      </c>
      <c r="E145" s="1">
        <v>43556</v>
      </c>
      <c r="F145" s="1">
        <f>EDATE(TPData[[#This Row],[Close Month]],11)</f>
        <v>43891</v>
      </c>
      <c r="G145" s="13" t="s">
        <v>512</v>
      </c>
      <c r="H145" s="4" t="str">
        <f t="shared" si="3"/>
        <v>Small (&lt;5k)</v>
      </c>
    </row>
    <row r="146" spans="1:9" x14ac:dyDescent="0.2">
      <c r="A146" s="15" t="s">
        <v>417</v>
      </c>
      <c r="B146" s="16" t="s">
        <v>2</v>
      </c>
      <c r="C146" s="2">
        <v>12852</v>
      </c>
      <c r="D146" s="2">
        <f>TPData[[#This Row],[Annual Contract Value (ACV)]]/12</f>
        <v>1071</v>
      </c>
      <c r="E146" s="1">
        <v>43586</v>
      </c>
      <c r="F146" s="1">
        <f>EDATE(TPData[[#This Row],[Close Month]],11)</f>
        <v>43922</v>
      </c>
      <c r="G146" s="13" t="s">
        <v>512</v>
      </c>
      <c r="H146" s="4" t="str">
        <f t="shared" si="3"/>
        <v>Large (&lt;20k)</v>
      </c>
      <c r="I146" s="4"/>
    </row>
    <row r="147" spans="1:9" x14ac:dyDescent="0.2">
      <c r="A147" s="15" t="s">
        <v>418</v>
      </c>
      <c r="B147" s="16" t="s">
        <v>2</v>
      </c>
      <c r="C147" s="2">
        <v>7344</v>
      </c>
      <c r="D147" s="2">
        <f>TPData[[#This Row],[Annual Contract Value (ACV)]]/12</f>
        <v>612</v>
      </c>
      <c r="E147" s="1">
        <v>43586</v>
      </c>
      <c r="F147" s="1">
        <f>EDATE(TPData[[#This Row],[Close Month]],11)</f>
        <v>43922</v>
      </c>
      <c r="G147" s="13" t="s">
        <v>512</v>
      </c>
      <c r="H147" s="4" t="str">
        <f t="shared" si="3"/>
        <v>Medium (&lt;10k)</v>
      </c>
      <c r="I147" s="4"/>
    </row>
    <row r="148" spans="1:9" x14ac:dyDescent="0.2">
      <c r="A148" s="15" t="s">
        <v>419</v>
      </c>
      <c r="B148" s="16" t="s">
        <v>2</v>
      </c>
      <c r="C148" s="2">
        <v>6674.4</v>
      </c>
      <c r="D148" s="2">
        <f>TPData[[#This Row],[Annual Contract Value (ACV)]]/12</f>
        <v>556.19999999999993</v>
      </c>
      <c r="E148" s="1">
        <v>43586</v>
      </c>
      <c r="F148" s="1">
        <f>EDATE(TPData[[#This Row],[Close Month]],11)</f>
        <v>43922</v>
      </c>
      <c r="G148" s="13" t="s">
        <v>512</v>
      </c>
      <c r="H148" s="4" t="str">
        <f t="shared" si="3"/>
        <v>Medium (&lt;10k)</v>
      </c>
      <c r="I148" s="4"/>
    </row>
    <row r="149" spans="1:9" x14ac:dyDescent="0.2">
      <c r="A149" s="15" t="s">
        <v>420</v>
      </c>
      <c r="B149" s="16" t="s">
        <v>2</v>
      </c>
      <c r="C149" s="2">
        <v>6300.0504000000001</v>
      </c>
      <c r="D149" s="2">
        <f>TPData[[#This Row],[Annual Contract Value (ACV)]]/12</f>
        <v>525.00419999999997</v>
      </c>
      <c r="E149" s="1">
        <v>43586</v>
      </c>
      <c r="F149" s="1">
        <f>EDATE(TPData[[#This Row],[Close Month]],11)</f>
        <v>43922</v>
      </c>
      <c r="G149" s="13" t="s">
        <v>512</v>
      </c>
      <c r="H149" s="4" t="str">
        <f t="shared" si="3"/>
        <v>Medium (&lt;10k)</v>
      </c>
      <c r="I149" s="4"/>
    </row>
    <row r="150" spans="1:9" x14ac:dyDescent="0.2">
      <c r="A150" s="15" t="s">
        <v>421</v>
      </c>
      <c r="B150" s="16" t="s">
        <v>2</v>
      </c>
      <c r="C150" s="2">
        <v>8910</v>
      </c>
      <c r="D150" s="2">
        <f>TPData[[#This Row],[Annual Contract Value (ACV)]]/12</f>
        <v>742.5</v>
      </c>
      <c r="E150" s="1">
        <v>43586</v>
      </c>
      <c r="F150" s="1">
        <f>EDATE(TPData[[#This Row],[Close Month]],11)</f>
        <v>43922</v>
      </c>
      <c r="G150" s="13" t="s">
        <v>512</v>
      </c>
      <c r="H150" s="4" t="str">
        <f t="shared" si="3"/>
        <v>Medium (&lt;10k)</v>
      </c>
      <c r="I150" s="4"/>
    </row>
    <row r="151" spans="1:9" x14ac:dyDescent="0.2">
      <c r="A151" s="15" t="s">
        <v>422</v>
      </c>
      <c r="B151" s="16" t="s">
        <v>2</v>
      </c>
      <c r="C151" s="2">
        <v>9576</v>
      </c>
      <c r="D151" s="2">
        <f>TPData[[#This Row],[Annual Contract Value (ACV)]]/12</f>
        <v>798</v>
      </c>
      <c r="E151" s="1">
        <v>43586</v>
      </c>
      <c r="F151" s="1">
        <f>EDATE(TPData[[#This Row],[Close Month]],11)</f>
        <v>43922</v>
      </c>
      <c r="G151" s="13" t="s">
        <v>512</v>
      </c>
      <c r="H151" s="4" t="str">
        <f t="shared" si="3"/>
        <v>Medium (&lt;10k)</v>
      </c>
      <c r="I151" s="4"/>
    </row>
    <row r="152" spans="1:9" x14ac:dyDescent="0.2">
      <c r="A152" s="15" t="s">
        <v>423</v>
      </c>
      <c r="B152" s="16" t="s">
        <v>2</v>
      </c>
      <c r="C152" s="2">
        <v>1710</v>
      </c>
      <c r="D152" s="2">
        <f>TPData[[#This Row],[Annual Contract Value (ACV)]]/12</f>
        <v>142.5</v>
      </c>
      <c r="E152" s="1">
        <v>43617</v>
      </c>
      <c r="F152" s="1">
        <f>EDATE(TPData[[#This Row],[Close Month]],11)</f>
        <v>43952</v>
      </c>
      <c r="G152" s="13" t="s">
        <v>512</v>
      </c>
      <c r="H152" s="4" t="str">
        <f t="shared" si="3"/>
        <v>Small (&lt;5k)</v>
      </c>
      <c r="I152" s="4"/>
    </row>
    <row r="153" spans="1:9" x14ac:dyDescent="0.2">
      <c r="A153" s="15" t="s">
        <v>424</v>
      </c>
      <c r="B153" s="16" t="s">
        <v>2</v>
      </c>
      <c r="C153" s="2">
        <v>2592</v>
      </c>
      <c r="D153" s="2">
        <f>TPData[[#This Row],[Annual Contract Value (ACV)]]/12</f>
        <v>216</v>
      </c>
      <c r="E153" s="1">
        <v>43617</v>
      </c>
      <c r="F153" s="1">
        <f>EDATE(TPData[[#This Row],[Close Month]],11)</f>
        <v>43952</v>
      </c>
      <c r="G153" s="13" t="s">
        <v>512</v>
      </c>
      <c r="H153" s="4" t="str">
        <f t="shared" si="3"/>
        <v>Small (&lt;5k)</v>
      </c>
      <c r="I153" s="4"/>
    </row>
    <row r="154" spans="1:9" x14ac:dyDescent="0.2">
      <c r="A154" s="15" t="s">
        <v>425</v>
      </c>
      <c r="B154" s="16" t="s">
        <v>2</v>
      </c>
      <c r="C154" s="2">
        <v>3960.0000000000005</v>
      </c>
      <c r="D154" s="2">
        <f>TPData[[#This Row],[Annual Contract Value (ACV)]]/12</f>
        <v>330.00000000000006</v>
      </c>
      <c r="E154" s="1">
        <v>43617</v>
      </c>
      <c r="F154" s="1">
        <f>EDATE(TPData[[#This Row],[Close Month]],11)</f>
        <v>43952</v>
      </c>
      <c r="G154" s="13" t="s">
        <v>512</v>
      </c>
      <c r="H154" s="4" t="str">
        <f t="shared" si="3"/>
        <v>Small (&lt;5k)</v>
      </c>
      <c r="I154" s="4"/>
    </row>
    <row r="155" spans="1:9" x14ac:dyDescent="0.2">
      <c r="A155" s="15" t="s">
        <v>426</v>
      </c>
      <c r="B155" s="16" t="s">
        <v>2</v>
      </c>
      <c r="C155" s="2">
        <v>9374.3999999999978</v>
      </c>
      <c r="D155" s="2">
        <f>TPData[[#This Row],[Annual Contract Value (ACV)]]/12</f>
        <v>781.19999999999982</v>
      </c>
      <c r="E155" s="1">
        <v>43617</v>
      </c>
      <c r="F155" s="1">
        <f>EDATE(TPData[[#This Row],[Close Month]],11)</f>
        <v>43952</v>
      </c>
      <c r="G155" s="13" t="s">
        <v>512</v>
      </c>
      <c r="H155" s="4" t="str">
        <f t="shared" si="3"/>
        <v>Medium (&lt;10k)</v>
      </c>
      <c r="I155" s="4"/>
    </row>
    <row r="156" spans="1:9" x14ac:dyDescent="0.2">
      <c r="A156" s="15" t="s">
        <v>427</v>
      </c>
      <c r="B156" s="16" t="s">
        <v>2</v>
      </c>
      <c r="C156" s="2">
        <v>5702.4</v>
      </c>
      <c r="D156" s="2">
        <f>TPData[[#This Row],[Annual Contract Value (ACV)]]/12</f>
        <v>475.2</v>
      </c>
      <c r="E156" s="1">
        <v>43617</v>
      </c>
      <c r="F156" s="1">
        <f>EDATE(TPData[[#This Row],[Close Month]],11)</f>
        <v>43952</v>
      </c>
      <c r="G156" s="13" t="s">
        <v>512</v>
      </c>
      <c r="H156" s="4" t="str">
        <f t="shared" si="3"/>
        <v>Medium (&lt;10k)</v>
      </c>
      <c r="I156" s="4"/>
    </row>
    <row r="157" spans="1:9" x14ac:dyDescent="0.2">
      <c r="A157" s="15" t="s">
        <v>428</v>
      </c>
      <c r="B157" s="16" t="s">
        <v>2</v>
      </c>
      <c r="C157" s="2">
        <v>3708</v>
      </c>
      <c r="D157" s="2">
        <f>TPData[[#This Row],[Annual Contract Value (ACV)]]/12</f>
        <v>309</v>
      </c>
      <c r="E157" s="1">
        <v>43617</v>
      </c>
      <c r="F157" s="1">
        <f>EDATE(TPData[[#This Row],[Close Month]],11)</f>
        <v>43952</v>
      </c>
      <c r="G157" s="13" t="s">
        <v>512</v>
      </c>
      <c r="H157" s="4" t="str">
        <f t="shared" si="3"/>
        <v>Small (&lt;5k)</v>
      </c>
      <c r="I157" s="4"/>
    </row>
    <row r="158" spans="1:9" x14ac:dyDescent="0.2">
      <c r="A158" s="15" t="s">
        <v>429</v>
      </c>
      <c r="B158" s="16" t="s">
        <v>2</v>
      </c>
      <c r="C158" s="2">
        <v>2736</v>
      </c>
      <c r="D158" s="2">
        <f>TPData[[#This Row],[Annual Contract Value (ACV)]]/12</f>
        <v>228</v>
      </c>
      <c r="E158" s="1">
        <v>43617</v>
      </c>
      <c r="F158" s="1">
        <f>EDATE(TPData[[#This Row],[Close Month]],11)</f>
        <v>43952</v>
      </c>
      <c r="G158" s="13" t="s">
        <v>512</v>
      </c>
      <c r="H158" s="4" t="str">
        <f t="shared" si="3"/>
        <v>Small (&lt;5k)</v>
      </c>
      <c r="I158" s="4"/>
    </row>
    <row r="159" spans="1:9" x14ac:dyDescent="0.2">
      <c r="A159" s="15" t="s">
        <v>430</v>
      </c>
      <c r="B159" s="16" t="s">
        <v>2</v>
      </c>
      <c r="C159" s="2">
        <v>1113.8399999999999</v>
      </c>
      <c r="D159" s="2">
        <f>TPData[[#This Row],[Annual Contract Value (ACV)]]/12</f>
        <v>92.82</v>
      </c>
      <c r="E159" s="1">
        <v>43617</v>
      </c>
      <c r="F159" s="1">
        <f>EDATE(TPData[[#This Row],[Close Month]],11)</f>
        <v>43952</v>
      </c>
      <c r="G159" s="13" t="s">
        <v>512</v>
      </c>
      <c r="H159" s="4" t="str">
        <f t="shared" si="3"/>
        <v>Small (&lt;5k)</v>
      </c>
      <c r="I159" s="4"/>
    </row>
    <row r="160" spans="1:9" x14ac:dyDescent="0.2">
      <c r="A160" s="15" t="s">
        <v>210</v>
      </c>
      <c r="B160" s="16" t="s">
        <v>2</v>
      </c>
      <c r="C160" s="2">
        <v>6468.0940799999989</v>
      </c>
      <c r="D160" s="2">
        <f>TPData[[#This Row],[Annual Contract Value (ACV)]]/12</f>
        <v>539.00783999999987</v>
      </c>
      <c r="E160" s="1">
        <v>43313</v>
      </c>
      <c r="F160" s="1">
        <f>EDATE(TPData[[#This Row],[Close Month]],11)</f>
        <v>43647</v>
      </c>
      <c r="G160" s="13" t="s">
        <v>513</v>
      </c>
      <c r="H160" s="4" t="str">
        <f t="shared" si="3"/>
        <v>Medium (&lt;10k)</v>
      </c>
    </row>
    <row r="161" spans="1:9" x14ac:dyDescent="0.2">
      <c r="A161" s="15" t="s">
        <v>211</v>
      </c>
      <c r="B161" s="16" t="s">
        <v>2</v>
      </c>
      <c r="C161" s="2">
        <v>8640</v>
      </c>
      <c r="D161" s="2">
        <f>TPData[[#This Row],[Annual Contract Value (ACV)]]/12</f>
        <v>720</v>
      </c>
      <c r="E161" s="1">
        <v>43313</v>
      </c>
      <c r="F161" s="1">
        <f>EDATE(TPData[[#This Row],[Close Month]],11)</f>
        <v>43647</v>
      </c>
      <c r="G161" s="13" t="s">
        <v>513</v>
      </c>
      <c r="H161" s="4" t="str">
        <f t="shared" si="3"/>
        <v>Medium (&lt;10k)</v>
      </c>
    </row>
    <row r="162" spans="1:9" x14ac:dyDescent="0.2">
      <c r="A162" s="15" t="s">
        <v>212</v>
      </c>
      <c r="B162" s="16" t="s">
        <v>2</v>
      </c>
      <c r="C162" s="2">
        <v>1497.6</v>
      </c>
      <c r="D162" s="2">
        <f>TPData[[#This Row],[Annual Contract Value (ACV)]]/12</f>
        <v>124.8</v>
      </c>
      <c r="E162" s="1">
        <v>43344</v>
      </c>
      <c r="F162" s="1">
        <f>EDATE(TPData[[#This Row],[Close Month]],11)</f>
        <v>43678</v>
      </c>
      <c r="G162" s="13" t="s">
        <v>513</v>
      </c>
      <c r="H162" s="4" t="str">
        <f t="shared" si="3"/>
        <v>Small (&lt;5k)</v>
      </c>
    </row>
    <row r="163" spans="1:9" x14ac:dyDescent="0.2">
      <c r="A163" s="15" t="s">
        <v>213</v>
      </c>
      <c r="B163" s="16" t="s">
        <v>2</v>
      </c>
      <c r="C163" s="2">
        <v>2368.7999999999997</v>
      </c>
      <c r="D163" s="2">
        <f>TPData[[#This Row],[Annual Contract Value (ACV)]]/12</f>
        <v>197.39999999999998</v>
      </c>
      <c r="E163" s="1">
        <v>43344</v>
      </c>
      <c r="F163" s="1">
        <f>EDATE(TPData[[#This Row],[Close Month]],11)</f>
        <v>43678</v>
      </c>
      <c r="G163" s="13" t="s">
        <v>513</v>
      </c>
      <c r="H163" s="4" t="str">
        <f t="shared" si="3"/>
        <v>Small (&lt;5k)</v>
      </c>
    </row>
    <row r="164" spans="1:9" x14ac:dyDescent="0.2">
      <c r="A164" s="15" t="s">
        <v>214</v>
      </c>
      <c r="B164" s="16" t="s">
        <v>2</v>
      </c>
      <c r="C164" s="2">
        <v>1324.8</v>
      </c>
      <c r="D164" s="2">
        <f>TPData[[#This Row],[Annual Contract Value (ACV)]]/12</f>
        <v>110.39999999999999</v>
      </c>
      <c r="E164" s="1">
        <v>43374</v>
      </c>
      <c r="F164" s="1">
        <f>EDATE(TPData[[#This Row],[Close Month]],11)</f>
        <v>43709</v>
      </c>
      <c r="G164" s="13" t="s">
        <v>513</v>
      </c>
      <c r="H164" s="4" t="str">
        <f t="shared" si="3"/>
        <v>Small (&lt;5k)</v>
      </c>
      <c r="I164" s="5"/>
    </row>
    <row r="165" spans="1:9" x14ac:dyDescent="0.2">
      <c r="A165" s="15" t="s">
        <v>215</v>
      </c>
      <c r="B165" s="16" t="s">
        <v>2</v>
      </c>
      <c r="C165" s="2">
        <v>6624</v>
      </c>
      <c r="D165" s="2">
        <f>TPData[[#This Row],[Annual Contract Value (ACV)]]/12</f>
        <v>552</v>
      </c>
      <c r="E165" s="1">
        <v>43405</v>
      </c>
      <c r="F165" s="1">
        <f>EDATE(TPData[[#This Row],[Close Month]],11)</f>
        <v>43739</v>
      </c>
      <c r="G165" s="13" t="s">
        <v>513</v>
      </c>
      <c r="H165" s="4" t="str">
        <f t="shared" si="3"/>
        <v>Medium (&lt;10k)</v>
      </c>
      <c r="I165" s="5"/>
    </row>
    <row r="166" spans="1:9" x14ac:dyDescent="0.2">
      <c r="A166" s="15" t="s">
        <v>216</v>
      </c>
      <c r="B166" s="16" t="s">
        <v>2</v>
      </c>
      <c r="C166" s="2">
        <v>3888</v>
      </c>
      <c r="D166" s="2">
        <f>TPData[[#This Row],[Annual Contract Value (ACV)]]/12</f>
        <v>324</v>
      </c>
      <c r="E166" s="1">
        <v>43435</v>
      </c>
      <c r="F166" s="1">
        <f>EDATE(TPData[[#This Row],[Close Month]],11)</f>
        <v>43770</v>
      </c>
      <c r="G166" s="13" t="s">
        <v>513</v>
      </c>
      <c r="H166" s="4" t="str">
        <f t="shared" si="3"/>
        <v>Small (&lt;5k)</v>
      </c>
      <c r="I166" s="5"/>
    </row>
    <row r="167" spans="1:9" x14ac:dyDescent="0.2">
      <c r="A167" s="15" t="s">
        <v>217</v>
      </c>
      <c r="B167" s="16" t="s">
        <v>2</v>
      </c>
      <c r="C167" s="2">
        <v>3780</v>
      </c>
      <c r="D167" s="2">
        <f>TPData[[#This Row],[Annual Contract Value (ACV)]]/12</f>
        <v>315</v>
      </c>
      <c r="E167" s="1">
        <v>43466</v>
      </c>
      <c r="F167" s="1">
        <f>EDATE(TPData[[#This Row],[Close Month]],11)</f>
        <v>43800</v>
      </c>
      <c r="G167" s="13" t="s">
        <v>513</v>
      </c>
      <c r="H167" s="4" t="str">
        <f t="shared" si="3"/>
        <v>Small (&lt;5k)</v>
      </c>
    </row>
    <row r="168" spans="1:9" x14ac:dyDescent="0.2">
      <c r="A168" s="15" t="s">
        <v>218</v>
      </c>
      <c r="B168" s="16" t="s">
        <v>2</v>
      </c>
      <c r="C168" s="2">
        <v>8553.6</v>
      </c>
      <c r="D168" s="2">
        <f>TPData[[#This Row],[Annual Contract Value (ACV)]]/12</f>
        <v>712.80000000000007</v>
      </c>
      <c r="E168" s="1">
        <v>43466</v>
      </c>
      <c r="F168" s="1">
        <f>EDATE(TPData[[#This Row],[Close Month]],11)</f>
        <v>43800</v>
      </c>
      <c r="G168" s="13" t="s">
        <v>513</v>
      </c>
      <c r="H168" s="4" t="str">
        <f t="shared" si="3"/>
        <v>Medium (&lt;10k)</v>
      </c>
    </row>
    <row r="169" spans="1:9" x14ac:dyDescent="0.2">
      <c r="A169" s="15" t="s">
        <v>219</v>
      </c>
      <c r="B169" s="16" t="s">
        <v>2</v>
      </c>
      <c r="C169" s="2">
        <v>2772</v>
      </c>
      <c r="D169" s="2">
        <f>TPData[[#This Row],[Annual Contract Value (ACV)]]/12</f>
        <v>231</v>
      </c>
      <c r="E169" s="1">
        <v>43497</v>
      </c>
      <c r="F169" s="1">
        <f>EDATE(TPData[[#This Row],[Close Month]],11)</f>
        <v>43831</v>
      </c>
      <c r="G169" s="13" t="s">
        <v>513</v>
      </c>
      <c r="H169" s="4" t="str">
        <f t="shared" si="3"/>
        <v>Small (&lt;5k)</v>
      </c>
      <c r="I169" s="4"/>
    </row>
    <row r="170" spans="1:9" x14ac:dyDescent="0.2">
      <c r="A170" s="15" t="s">
        <v>220</v>
      </c>
      <c r="B170" s="16" t="s">
        <v>2</v>
      </c>
      <c r="C170" s="2">
        <v>2311.1999999999998</v>
      </c>
      <c r="D170" s="2">
        <f>TPData[[#This Row],[Annual Contract Value (ACV)]]/12</f>
        <v>192.6</v>
      </c>
      <c r="E170" s="1">
        <v>43497</v>
      </c>
      <c r="F170" s="1">
        <f>EDATE(TPData[[#This Row],[Close Month]],11)</f>
        <v>43831</v>
      </c>
      <c r="G170" s="13" t="s">
        <v>513</v>
      </c>
      <c r="H170" s="4" t="str">
        <f t="shared" si="3"/>
        <v>Small (&lt;5k)</v>
      </c>
      <c r="I170" s="4"/>
    </row>
    <row r="171" spans="1:9" x14ac:dyDescent="0.2">
      <c r="A171" s="15" t="s">
        <v>221</v>
      </c>
      <c r="B171" s="16" t="s">
        <v>2</v>
      </c>
      <c r="C171" s="2">
        <v>3708</v>
      </c>
      <c r="D171" s="2">
        <f>TPData[[#This Row],[Annual Contract Value (ACV)]]/12</f>
        <v>309</v>
      </c>
      <c r="E171" s="1">
        <v>43497</v>
      </c>
      <c r="F171" s="1">
        <f>EDATE(TPData[[#This Row],[Close Month]],11)</f>
        <v>43831</v>
      </c>
      <c r="G171" s="13" t="s">
        <v>513</v>
      </c>
      <c r="H171" s="4" t="str">
        <f t="shared" si="3"/>
        <v>Small (&lt;5k)</v>
      </c>
      <c r="I171" s="4"/>
    </row>
    <row r="172" spans="1:9" x14ac:dyDescent="0.2">
      <c r="A172" s="15" t="s">
        <v>222</v>
      </c>
      <c r="B172" s="16" t="s">
        <v>2</v>
      </c>
      <c r="C172" s="2">
        <v>5529.5999999999995</v>
      </c>
      <c r="D172" s="2">
        <f>TPData[[#This Row],[Annual Contract Value (ACV)]]/12</f>
        <v>460.79999999999995</v>
      </c>
      <c r="E172" s="1">
        <v>43497</v>
      </c>
      <c r="F172" s="1">
        <f>EDATE(TPData[[#This Row],[Close Month]],11)</f>
        <v>43831</v>
      </c>
      <c r="G172" s="13" t="s">
        <v>513</v>
      </c>
      <c r="H172" s="4" t="str">
        <f t="shared" si="3"/>
        <v>Medium (&lt;10k)</v>
      </c>
      <c r="I172" s="4"/>
    </row>
    <row r="173" spans="1:9" x14ac:dyDescent="0.2">
      <c r="A173" s="15" t="s">
        <v>223</v>
      </c>
      <c r="B173" s="16" t="s">
        <v>2</v>
      </c>
      <c r="C173" s="2">
        <v>2376.0475199999996</v>
      </c>
      <c r="D173" s="2">
        <f>TPData[[#This Row],[Annual Contract Value (ACV)]]/12</f>
        <v>198.00395999999998</v>
      </c>
      <c r="E173" s="1">
        <v>43497</v>
      </c>
      <c r="F173" s="1">
        <f>EDATE(TPData[[#This Row],[Close Month]],11)</f>
        <v>43831</v>
      </c>
      <c r="G173" s="13" t="s">
        <v>513</v>
      </c>
      <c r="H173" s="4" t="str">
        <f t="shared" si="3"/>
        <v>Small (&lt;5k)</v>
      </c>
      <c r="I173" s="4"/>
    </row>
    <row r="174" spans="1:9" x14ac:dyDescent="0.2">
      <c r="A174" s="15" t="s">
        <v>224</v>
      </c>
      <c r="B174" s="16" t="s">
        <v>2</v>
      </c>
      <c r="C174" s="2">
        <v>6624</v>
      </c>
      <c r="D174" s="2">
        <f>TPData[[#This Row],[Annual Contract Value (ACV)]]/12</f>
        <v>552</v>
      </c>
      <c r="E174" s="1">
        <v>43497</v>
      </c>
      <c r="F174" s="1">
        <f>EDATE(TPData[[#This Row],[Close Month]],11)</f>
        <v>43831</v>
      </c>
      <c r="G174" s="13" t="s">
        <v>513</v>
      </c>
      <c r="H174" s="4" t="str">
        <f t="shared" si="3"/>
        <v>Medium (&lt;10k)</v>
      </c>
      <c r="I174" s="4"/>
    </row>
    <row r="175" spans="1:9" x14ac:dyDescent="0.2">
      <c r="A175" s="15" t="s">
        <v>225</v>
      </c>
      <c r="B175" s="16" t="s">
        <v>2</v>
      </c>
      <c r="C175" s="2">
        <v>6609.6</v>
      </c>
      <c r="D175" s="2">
        <f>TPData[[#This Row],[Annual Contract Value (ACV)]]/12</f>
        <v>550.80000000000007</v>
      </c>
      <c r="E175" s="1">
        <v>43497</v>
      </c>
      <c r="F175" s="1">
        <f>EDATE(TPData[[#This Row],[Close Month]],11)</f>
        <v>43831</v>
      </c>
      <c r="G175" s="13" t="s">
        <v>513</v>
      </c>
      <c r="H175" s="4" t="str">
        <f t="shared" si="3"/>
        <v>Medium (&lt;10k)</v>
      </c>
      <c r="I175" s="4"/>
    </row>
    <row r="176" spans="1:9" x14ac:dyDescent="0.2">
      <c r="A176" s="15" t="s">
        <v>226</v>
      </c>
      <c r="B176" s="16" t="s">
        <v>2</v>
      </c>
      <c r="C176" s="2">
        <v>3175.2000000000003</v>
      </c>
      <c r="D176" s="2">
        <f>TPData[[#This Row],[Annual Contract Value (ACV)]]/12</f>
        <v>264.60000000000002</v>
      </c>
      <c r="E176" s="1">
        <v>43525</v>
      </c>
      <c r="F176" s="1">
        <f>EDATE(TPData[[#This Row],[Close Month]],11)</f>
        <v>43862</v>
      </c>
      <c r="G176" s="13" t="s">
        <v>513</v>
      </c>
      <c r="H176" s="4" t="str">
        <f t="shared" si="3"/>
        <v>Small (&lt;5k)</v>
      </c>
    </row>
    <row r="177" spans="1:9" x14ac:dyDescent="0.2">
      <c r="A177" s="15" t="s">
        <v>526</v>
      </c>
      <c r="B177" s="16" t="s">
        <v>2</v>
      </c>
      <c r="C177" s="2">
        <v>8584</v>
      </c>
      <c r="D177" s="2">
        <f>TPData[[#This Row],[Annual Contract Value (ACV)]]/12</f>
        <v>715.33333333333337</v>
      </c>
      <c r="E177" s="1">
        <v>43282</v>
      </c>
      <c r="F177" s="1">
        <f>EDATE(TPData[[#This Row],[Close Month]],11)</f>
        <v>43617</v>
      </c>
      <c r="G177" s="13" t="s">
        <v>513</v>
      </c>
      <c r="H177" s="4" t="str">
        <f t="shared" si="3"/>
        <v>Medium (&lt;10k)</v>
      </c>
    </row>
    <row r="178" spans="1:9" x14ac:dyDescent="0.2">
      <c r="A178" s="15" t="s">
        <v>527</v>
      </c>
      <c r="B178" s="16" t="s">
        <v>2</v>
      </c>
      <c r="C178" s="2">
        <v>1452</v>
      </c>
      <c r="D178" s="2">
        <f>TPData[[#This Row],[Annual Contract Value (ACV)]]/12</f>
        <v>121</v>
      </c>
      <c r="E178" s="1">
        <v>43282</v>
      </c>
      <c r="F178" s="1">
        <f>EDATE(TPData[[#This Row],[Close Month]],11)</f>
        <v>43617</v>
      </c>
      <c r="G178" s="13" t="s">
        <v>513</v>
      </c>
      <c r="H178" s="4" t="str">
        <f t="shared" si="3"/>
        <v>Small (&lt;5k)</v>
      </c>
    </row>
    <row r="179" spans="1:9" x14ac:dyDescent="0.2">
      <c r="A179" s="15" t="s">
        <v>227</v>
      </c>
      <c r="B179" s="16" t="s">
        <v>2</v>
      </c>
      <c r="C179" s="2">
        <v>6277.4999999999991</v>
      </c>
      <c r="D179" s="2">
        <f>TPData[[#This Row],[Annual Contract Value (ACV)]]/12</f>
        <v>523.12499999999989</v>
      </c>
      <c r="E179" s="1">
        <v>43525</v>
      </c>
      <c r="F179" s="1">
        <f>EDATE(TPData[[#This Row],[Close Month]],11)</f>
        <v>43862</v>
      </c>
      <c r="G179" s="13" t="s">
        <v>513</v>
      </c>
      <c r="H179" s="4" t="str">
        <f t="shared" si="3"/>
        <v>Medium (&lt;10k)</v>
      </c>
    </row>
    <row r="180" spans="1:9" x14ac:dyDescent="0.2">
      <c r="A180" s="15" t="s">
        <v>228</v>
      </c>
      <c r="B180" s="16" t="s">
        <v>2</v>
      </c>
      <c r="C180" s="2">
        <v>6415.2</v>
      </c>
      <c r="D180" s="2">
        <f>TPData[[#This Row],[Annual Contract Value (ACV)]]/12</f>
        <v>534.6</v>
      </c>
      <c r="E180" s="1">
        <v>43525</v>
      </c>
      <c r="F180" s="1">
        <f>EDATE(TPData[[#This Row],[Close Month]],11)</f>
        <v>43862</v>
      </c>
      <c r="G180" s="13" t="s">
        <v>513</v>
      </c>
      <c r="H180" s="4" t="str">
        <f t="shared" si="3"/>
        <v>Medium (&lt;10k)</v>
      </c>
    </row>
    <row r="181" spans="1:9" x14ac:dyDescent="0.2">
      <c r="A181" s="15" t="s">
        <v>229</v>
      </c>
      <c r="B181" s="16" t="s">
        <v>2</v>
      </c>
      <c r="C181" s="2">
        <v>4519.8</v>
      </c>
      <c r="D181" s="2">
        <f>TPData[[#This Row],[Annual Contract Value (ACV)]]/12</f>
        <v>376.65000000000003</v>
      </c>
      <c r="E181" s="1">
        <v>43525</v>
      </c>
      <c r="F181" s="1">
        <f>EDATE(TPData[[#This Row],[Close Month]],11)</f>
        <v>43862</v>
      </c>
      <c r="G181" s="13" t="s">
        <v>513</v>
      </c>
      <c r="H181" s="4" t="str">
        <f t="shared" si="3"/>
        <v>Small (&lt;5k)</v>
      </c>
    </row>
    <row r="182" spans="1:9" x14ac:dyDescent="0.2">
      <c r="A182" s="15" t="s">
        <v>230</v>
      </c>
      <c r="B182" s="16" t="s">
        <v>2</v>
      </c>
      <c r="C182" s="2">
        <v>2484</v>
      </c>
      <c r="D182" s="2">
        <f>TPData[[#This Row],[Annual Contract Value (ACV)]]/12</f>
        <v>207</v>
      </c>
      <c r="E182" s="1">
        <v>43525</v>
      </c>
      <c r="F182" s="1">
        <f>EDATE(TPData[[#This Row],[Close Month]],11)</f>
        <v>43862</v>
      </c>
      <c r="G182" s="13" t="s">
        <v>513</v>
      </c>
      <c r="H182" s="4" t="str">
        <f t="shared" si="3"/>
        <v>Small (&lt;5k)</v>
      </c>
    </row>
    <row r="183" spans="1:9" x14ac:dyDescent="0.2">
      <c r="A183" s="15" t="s">
        <v>231</v>
      </c>
      <c r="B183" s="16" t="s">
        <v>2</v>
      </c>
      <c r="C183" s="2">
        <v>7776</v>
      </c>
      <c r="D183" s="2">
        <f>TPData[[#This Row],[Annual Contract Value (ACV)]]/12</f>
        <v>648</v>
      </c>
      <c r="E183" s="1">
        <v>43556</v>
      </c>
      <c r="F183" s="1">
        <f>EDATE(TPData[[#This Row],[Close Month]],11)</f>
        <v>43891</v>
      </c>
      <c r="G183" s="13" t="s">
        <v>513</v>
      </c>
      <c r="H183" s="4" t="str">
        <f t="shared" si="3"/>
        <v>Medium (&lt;10k)</v>
      </c>
    </row>
    <row r="184" spans="1:9" x14ac:dyDescent="0.2">
      <c r="A184" s="15" t="s">
        <v>232</v>
      </c>
      <c r="B184" s="16" t="s">
        <v>2</v>
      </c>
      <c r="C184" s="2">
        <v>3207.6</v>
      </c>
      <c r="D184" s="2">
        <f>TPData[[#This Row],[Annual Contract Value (ACV)]]/12</f>
        <v>267.3</v>
      </c>
      <c r="E184" s="1">
        <v>43556</v>
      </c>
      <c r="F184" s="1">
        <f>EDATE(TPData[[#This Row],[Close Month]],11)</f>
        <v>43891</v>
      </c>
      <c r="G184" s="13" t="s">
        <v>513</v>
      </c>
      <c r="H184" s="4" t="str">
        <f t="shared" si="3"/>
        <v>Small (&lt;5k)</v>
      </c>
    </row>
    <row r="185" spans="1:9" x14ac:dyDescent="0.2">
      <c r="A185" s="15" t="s">
        <v>233</v>
      </c>
      <c r="B185" s="16" t="s">
        <v>2</v>
      </c>
      <c r="C185" s="2">
        <v>5724</v>
      </c>
      <c r="D185" s="2">
        <f>TPData[[#This Row],[Annual Contract Value (ACV)]]/12</f>
        <v>477</v>
      </c>
      <c r="E185" s="1">
        <v>43556</v>
      </c>
      <c r="F185" s="1">
        <f>EDATE(TPData[[#This Row],[Close Month]],11)</f>
        <v>43891</v>
      </c>
      <c r="G185" s="13" t="s">
        <v>513</v>
      </c>
      <c r="H185" s="4" t="str">
        <f t="shared" si="3"/>
        <v>Medium (&lt;10k)</v>
      </c>
    </row>
    <row r="186" spans="1:9" x14ac:dyDescent="0.2">
      <c r="A186" s="15" t="s">
        <v>234</v>
      </c>
      <c r="B186" s="16" t="s">
        <v>2</v>
      </c>
      <c r="C186" s="2">
        <v>4233.6000000000004</v>
      </c>
      <c r="D186" s="2">
        <f>TPData[[#This Row],[Annual Contract Value (ACV)]]/12</f>
        <v>352.8</v>
      </c>
      <c r="E186" s="1">
        <v>43556</v>
      </c>
      <c r="F186" s="1">
        <f>EDATE(TPData[[#This Row],[Close Month]],11)</f>
        <v>43891</v>
      </c>
      <c r="G186" s="13" t="s">
        <v>513</v>
      </c>
      <c r="H186" s="4" t="str">
        <f t="shared" si="3"/>
        <v>Small (&lt;5k)</v>
      </c>
    </row>
    <row r="187" spans="1:9" x14ac:dyDescent="0.2">
      <c r="A187" s="15" t="s">
        <v>235</v>
      </c>
      <c r="B187" s="16" t="s">
        <v>2</v>
      </c>
      <c r="C187" s="2">
        <v>4665.6000000000004</v>
      </c>
      <c r="D187" s="2">
        <f>TPData[[#This Row],[Annual Contract Value (ACV)]]/12</f>
        <v>388.8</v>
      </c>
      <c r="E187" s="1">
        <v>43556</v>
      </c>
      <c r="F187" s="1">
        <f>EDATE(TPData[[#This Row],[Close Month]],11)</f>
        <v>43891</v>
      </c>
      <c r="G187" s="13" t="s">
        <v>513</v>
      </c>
      <c r="H187" s="4" t="str">
        <f t="shared" si="3"/>
        <v>Small (&lt;5k)</v>
      </c>
    </row>
    <row r="188" spans="1:9" x14ac:dyDescent="0.2">
      <c r="A188" s="15" t="s">
        <v>236</v>
      </c>
      <c r="B188" s="16" t="s">
        <v>2</v>
      </c>
      <c r="C188" s="2">
        <v>1944</v>
      </c>
      <c r="D188" s="2">
        <f>TPData[[#This Row],[Annual Contract Value (ACV)]]/12</f>
        <v>162</v>
      </c>
      <c r="E188" s="1">
        <v>43556</v>
      </c>
      <c r="F188" s="1">
        <f>EDATE(TPData[[#This Row],[Close Month]],11)</f>
        <v>43891</v>
      </c>
      <c r="G188" s="13" t="s">
        <v>513</v>
      </c>
      <c r="H188" s="4" t="str">
        <f t="shared" si="3"/>
        <v>Small (&lt;5k)</v>
      </c>
    </row>
    <row r="189" spans="1:9" x14ac:dyDescent="0.2">
      <c r="A189" s="15" t="s">
        <v>237</v>
      </c>
      <c r="B189" s="16" t="s">
        <v>2</v>
      </c>
      <c r="C189" s="2">
        <v>5961.6</v>
      </c>
      <c r="D189" s="2">
        <f>TPData[[#This Row],[Annual Contract Value (ACV)]]/12</f>
        <v>496.8</v>
      </c>
      <c r="E189" s="1">
        <v>43556</v>
      </c>
      <c r="F189" s="1">
        <f>EDATE(TPData[[#This Row],[Close Month]],11)</f>
        <v>43891</v>
      </c>
      <c r="G189" s="13" t="s">
        <v>513</v>
      </c>
      <c r="H189" s="4" t="str">
        <f t="shared" si="3"/>
        <v>Medium (&lt;10k)</v>
      </c>
    </row>
    <row r="190" spans="1:9" x14ac:dyDescent="0.2">
      <c r="A190" s="15" t="s">
        <v>238</v>
      </c>
      <c r="B190" s="16" t="s">
        <v>2</v>
      </c>
      <c r="C190" s="2">
        <v>5346</v>
      </c>
      <c r="D190" s="2">
        <f>TPData[[#This Row],[Annual Contract Value (ACV)]]/12</f>
        <v>445.5</v>
      </c>
      <c r="E190" s="1">
        <v>43556</v>
      </c>
      <c r="F190" s="1">
        <f>EDATE(TPData[[#This Row],[Close Month]],11)</f>
        <v>43891</v>
      </c>
      <c r="G190" s="13" t="s">
        <v>513</v>
      </c>
      <c r="H190" s="4" t="str">
        <f t="shared" si="3"/>
        <v>Medium (&lt;10k)</v>
      </c>
    </row>
    <row r="191" spans="1:9" x14ac:dyDescent="0.2">
      <c r="A191" s="15" t="s">
        <v>239</v>
      </c>
      <c r="B191" s="16" t="s">
        <v>2</v>
      </c>
      <c r="C191" s="2">
        <v>9936</v>
      </c>
      <c r="D191" s="2">
        <f>TPData[[#This Row],[Annual Contract Value (ACV)]]/12</f>
        <v>828</v>
      </c>
      <c r="E191" s="1">
        <v>43586</v>
      </c>
      <c r="F191" s="1">
        <f>EDATE(TPData[[#This Row],[Close Month]],11)</f>
        <v>43922</v>
      </c>
      <c r="G191" s="13" t="s">
        <v>513</v>
      </c>
      <c r="H191" s="4" t="str">
        <f t="shared" si="3"/>
        <v>Medium (&lt;10k)</v>
      </c>
      <c r="I191" s="4"/>
    </row>
    <row r="192" spans="1:9" x14ac:dyDescent="0.2">
      <c r="A192" s="15" t="s">
        <v>240</v>
      </c>
      <c r="B192" s="16" t="s">
        <v>2</v>
      </c>
      <c r="C192" s="2">
        <v>2781</v>
      </c>
      <c r="D192" s="2">
        <f>TPData[[#This Row],[Annual Contract Value (ACV)]]/12</f>
        <v>231.75</v>
      </c>
      <c r="E192" s="1">
        <v>43586</v>
      </c>
      <c r="F192" s="1">
        <f>EDATE(TPData[[#This Row],[Close Month]],11)</f>
        <v>43922</v>
      </c>
      <c r="G192" s="13" t="s">
        <v>513</v>
      </c>
      <c r="H192" s="4" t="str">
        <f t="shared" si="3"/>
        <v>Small (&lt;5k)</v>
      </c>
      <c r="I192" s="4"/>
    </row>
    <row r="193" spans="1:9" x14ac:dyDescent="0.2">
      <c r="A193" s="15" t="s">
        <v>241</v>
      </c>
      <c r="B193" s="16" t="s">
        <v>2</v>
      </c>
      <c r="C193" s="2">
        <v>5184</v>
      </c>
      <c r="D193" s="2">
        <f>TPData[[#This Row],[Annual Contract Value (ACV)]]/12</f>
        <v>432</v>
      </c>
      <c r="E193" s="1">
        <v>43617</v>
      </c>
      <c r="F193" s="1">
        <f>EDATE(TPData[[#This Row],[Close Month]],11)</f>
        <v>43952</v>
      </c>
      <c r="G193" s="13" t="s">
        <v>513</v>
      </c>
      <c r="H193" s="4" t="str">
        <f t="shared" si="3"/>
        <v>Medium (&lt;10k)</v>
      </c>
      <c r="I193" s="4"/>
    </row>
    <row r="194" spans="1:9" x14ac:dyDescent="0.2">
      <c r="A194" s="15" t="s">
        <v>242</v>
      </c>
      <c r="B194" s="16" t="s">
        <v>2</v>
      </c>
      <c r="C194" s="2">
        <v>12117.6</v>
      </c>
      <c r="D194" s="2">
        <f>TPData[[#This Row],[Annual Contract Value (ACV)]]/12</f>
        <v>1009.8000000000001</v>
      </c>
      <c r="E194" s="1">
        <v>43617</v>
      </c>
      <c r="F194" s="1">
        <f>EDATE(TPData[[#This Row],[Close Month]],11)</f>
        <v>43952</v>
      </c>
      <c r="G194" s="13" t="s">
        <v>513</v>
      </c>
      <c r="H194" s="4" t="str">
        <f t="shared" ref="H194:H257" si="4">IF(C194&lt;=5000,$J$5,IF((C194&lt;10000),$J$6,IF((C194&lt;20000),$J$7,IF((C194&gt;=20000),$J$8))))</f>
        <v>Large (&lt;20k)</v>
      </c>
      <c r="I194" s="4"/>
    </row>
    <row r="195" spans="1:9" x14ac:dyDescent="0.2">
      <c r="A195" s="15" t="s">
        <v>464</v>
      </c>
      <c r="B195" s="16" t="s">
        <v>2</v>
      </c>
      <c r="C195" s="2">
        <v>3402</v>
      </c>
      <c r="D195" s="2">
        <f>TPData[[#This Row],[Annual Contract Value (ACV)]]/12</f>
        <v>283.5</v>
      </c>
      <c r="E195" s="1">
        <v>43313</v>
      </c>
      <c r="F195" s="1">
        <f>EDATE(TPData[[#This Row],[Close Month]],11)</f>
        <v>43647</v>
      </c>
      <c r="G195" s="13" t="s">
        <v>514</v>
      </c>
      <c r="H195" s="4" t="str">
        <f t="shared" si="4"/>
        <v>Small (&lt;5k)</v>
      </c>
    </row>
    <row r="196" spans="1:9" x14ac:dyDescent="0.2">
      <c r="A196" s="15" t="s">
        <v>465</v>
      </c>
      <c r="B196" s="16" t="s">
        <v>2</v>
      </c>
      <c r="C196" s="2">
        <v>5533.1618400000007</v>
      </c>
      <c r="D196" s="2">
        <f>TPData[[#This Row],[Annual Contract Value (ACV)]]/12</f>
        <v>461.09682000000004</v>
      </c>
      <c r="E196" s="1">
        <v>43344</v>
      </c>
      <c r="F196" s="1">
        <f>EDATE(TPData[[#This Row],[Close Month]],11)</f>
        <v>43678</v>
      </c>
      <c r="G196" s="13" t="s">
        <v>514</v>
      </c>
      <c r="H196" s="4" t="str">
        <f t="shared" si="4"/>
        <v>Medium (&lt;10k)</v>
      </c>
    </row>
    <row r="197" spans="1:9" x14ac:dyDescent="0.2">
      <c r="A197" s="15" t="s">
        <v>466</v>
      </c>
      <c r="B197" s="16" t="s">
        <v>2</v>
      </c>
      <c r="C197" s="2">
        <v>4914</v>
      </c>
      <c r="D197" s="2">
        <f>TPData[[#This Row],[Annual Contract Value (ACV)]]/12</f>
        <v>409.5</v>
      </c>
      <c r="E197" s="1">
        <v>43344</v>
      </c>
      <c r="F197" s="1">
        <f>EDATE(TPData[[#This Row],[Close Month]],11)</f>
        <v>43678</v>
      </c>
      <c r="G197" s="13" t="s">
        <v>514</v>
      </c>
      <c r="H197" s="4" t="str">
        <f t="shared" si="4"/>
        <v>Small (&lt;5k)</v>
      </c>
    </row>
    <row r="198" spans="1:9" x14ac:dyDescent="0.2">
      <c r="A198" s="15" t="s">
        <v>467</v>
      </c>
      <c r="B198" s="16" t="s">
        <v>2</v>
      </c>
      <c r="C198" s="2">
        <v>8066.5199999999995</v>
      </c>
      <c r="D198" s="2">
        <f>TPData[[#This Row],[Annual Contract Value (ACV)]]/12</f>
        <v>672.20999999999992</v>
      </c>
      <c r="E198" s="1">
        <v>43374</v>
      </c>
      <c r="F198" s="1">
        <f>EDATE(TPData[[#This Row],[Close Month]],11)</f>
        <v>43709</v>
      </c>
      <c r="G198" s="13" t="s">
        <v>514</v>
      </c>
      <c r="H198" s="4" t="str">
        <f t="shared" si="4"/>
        <v>Medium (&lt;10k)</v>
      </c>
      <c r="I198" s="5"/>
    </row>
    <row r="199" spans="1:9" x14ac:dyDescent="0.2">
      <c r="A199" s="15" t="s">
        <v>468</v>
      </c>
      <c r="B199" s="16" t="s">
        <v>2</v>
      </c>
      <c r="C199" s="2">
        <v>18540</v>
      </c>
      <c r="D199" s="2">
        <f>TPData[[#This Row],[Annual Contract Value (ACV)]]/12</f>
        <v>1545</v>
      </c>
      <c r="E199" s="1">
        <v>43405</v>
      </c>
      <c r="F199" s="1">
        <f>EDATE(TPData[[#This Row],[Close Month]],11)</f>
        <v>43739</v>
      </c>
      <c r="G199" s="13" t="s">
        <v>514</v>
      </c>
      <c r="H199" s="4" t="str">
        <f t="shared" si="4"/>
        <v>Large (&lt;20k)</v>
      </c>
      <c r="I199" s="5"/>
    </row>
    <row r="200" spans="1:9" x14ac:dyDescent="0.2">
      <c r="A200" s="15" t="s">
        <v>469</v>
      </c>
      <c r="B200" s="16" t="s">
        <v>2</v>
      </c>
      <c r="C200" s="2">
        <v>11760</v>
      </c>
      <c r="D200" s="2">
        <f>TPData[[#This Row],[Annual Contract Value (ACV)]]/12</f>
        <v>980</v>
      </c>
      <c r="E200" s="1">
        <v>43435</v>
      </c>
      <c r="F200" s="1">
        <f>EDATE(TPData[[#This Row],[Close Month]],11)</f>
        <v>43770</v>
      </c>
      <c r="G200" s="13" t="s">
        <v>514</v>
      </c>
      <c r="H200" s="4" t="str">
        <f t="shared" si="4"/>
        <v>Large (&lt;20k)</v>
      </c>
      <c r="I200" s="5"/>
    </row>
    <row r="201" spans="1:9" x14ac:dyDescent="0.2">
      <c r="A201" s="15" t="s">
        <v>470</v>
      </c>
      <c r="B201" s="16" t="s">
        <v>2</v>
      </c>
      <c r="C201" s="2">
        <v>6480</v>
      </c>
      <c r="D201" s="2">
        <f>TPData[[#This Row],[Annual Contract Value (ACV)]]/12</f>
        <v>540</v>
      </c>
      <c r="E201" s="1">
        <v>43466</v>
      </c>
      <c r="F201" s="1">
        <f>EDATE(TPData[[#This Row],[Close Month]],11)</f>
        <v>43800</v>
      </c>
      <c r="G201" s="13" t="s">
        <v>514</v>
      </c>
      <c r="H201" s="4" t="str">
        <f t="shared" si="4"/>
        <v>Medium (&lt;10k)</v>
      </c>
    </row>
    <row r="202" spans="1:9" x14ac:dyDescent="0.2">
      <c r="A202" s="15" t="s">
        <v>471</v>
      </c>
      <c r="B202" s="16" t="s">
        <v>2</v>
      </c>
      <c r="C202" s="2">
        <v>10152</v>
      </c>
      <c r="D202" s="2">
        <f>TPData[[#This Row],[Annual Contract Value (ACV)]]/12</f>
        <v>846</v>
      </c>
      <c r="E202" s="1">
        <v>43466</v>
      </c>
      <c r="F202" s="1">
        <f>EDATE(TPData[[#This Row],[Close Month]],11)</f>
        <v>43800</v>
      </c>
      <c r="G202" s="13" t="s">
        <v>514</v>
      </c>
      <c r="H202" s="4" t="str">
        <f t="shared" si="4"/>
        <v>Large (&lt;20k)</v>
      </c>
    </row>
    <row r="203" spans="1:9" x14ac:dyDescent="0.2">
      <c r="A203" s="15" t="s">
        <v>472</v>
      </c>
      <c r="B203" s="16" t="s">
        <v>2</v>
      </c>
      <c r="C203" s="2">
        <v>2044.08</v>
      </c>
      <c r="D203" s="2">
        <f>TPData[[#This Row],[Annual Contract Value (ACV)]]/12</f>
        <v>170.34</v>
      </c>
      <c r="E203" s="1">
        <v>43525</v>
      </c>
      <c r="F203" s="1">
        <f>EDATE(TPData[[#This Row],[Close Month]],11)</f>
        <v>43862</v>
      </c>
      <c r="G203" s="13" t="s">
        <v>514</v>
      </c>
      <c r="H203" s="4" t="str">
        <f t="shared" si="4"/>
        <v>Small (&lt;5k)</v>
      </c>
    </row>
    <row r="204" spans="1:9" x14ac:dyDescent="0.2">
      <c r="A204" s="15" t="s">
        <v>528</v>
      </c>
      <c r="B204" s="16" t="s">
        <v>2</v>
      </c>
      <c r="C204" s="2">
        <v>2958</v>
      </c>
      <c r="D204" s="2">
        <f>TPData[[#This Row],[Annual Contract Value (ACV)]]/12</f>
        <v>246.5</v>
      </c>
      <c r="E204" s="1">
        <v>43282</v>
      </c>
      <c r="F204" s="1">
        <f>EDATE(TPData[[#This Row],[Close Month]],11)</f>
        <v>43617</v>
      </c>
      <c r="G204" s="13" t="s">
        <v>514</v>
      </c>
      <c r="H204" s="4" t="str">
        <f t="shared" si="4"/>
        <v>Small (&lt;5k)</v>
      </c>
    </row>
    <row r="205" spans="1:9" x14ac:dyDescent="0.2">
      <c r="A205" s="15" t="s">
        <v>529</v>
      </c>
      <c r="B205" s="16" t="s">
        <v>2</v>
      </c>
      <c r="C205" s="2">
        <v>12850</v>
      </c>
      <c r="D205" s="2">
        <f>TPData[[#This Row],[Annual Contract Value (ACV)]]/12</f>
        <v>1070.8333333333333</v>
      </c>
      <c r="E205" s="1">
        <v>43497</v>
      </c>
      <c r="F205" s="1">
        <f>EDATE(TPData[[#This Row],[Close Month]],11)</f>
        <v>43831</v>
      </c>
      <c r="G205" s="13" t="s">
        <v>514</v>
      </c>
      <c r="H205" s="4" t="str">
        <f t="shared" si="4"/>
        <v>Large (&lt;20k)</v>
      </c>
    </row>
    <row r="206" spans="1:9" x14ac:dyDescent="0.2">
      <c r="A206" s="15" t="s">
        <v>473</v>
      </c>
      <c r="B206" s="16" t="s">
        <v>2</v>
      </c>
      <c r="C206" s="2">
        <v>2820</v>
      </c>
      <c r="D206" s="2">
        <f>TPData[[#This Row],[Annual Contract Value (ACV)]]/12</f>
        <v>235</v>
      </c>
      <c r="E206" s="1">
        <v>43525</v>
      </c>
      <c r="F206" s="1">
        <f>EDATE(TPData[[#This Row],[Close Month]],11)</f>
        <v>43862</v>
      </c>
      <c r="G206" s="13" t="s">
        <v>514</v>
      </c>
      <c r="H206" s="4" t="str">
        <f t="shared" si="4"/>
        <v>Small (&lt;5k)</v>
      </c>
    </row>
    <row r="207" spans="1:9" x14ac:dyDescent="0.2">
      <c r="A207" s="15" t="s">
        <v>474</v>
      </c>
      <c r="B207" s="16" t="s">
        <v>2</v>
      </c>
      <c r="C207" s="2">
        <v>2400</v>
      </c>
      <c r="D207" s="2">
        <f>TPData[[#This Row],[Annual Contract Value (ACV)]]/12</f>
        <v>200</v>
      </c>
      <c r="E207" s="1">
        <v>43525</v>
      </c>
      <c r="F207" s="1">
        <f>EDATE(TPData[[#This Row],[Close Month]],11)</f>
        <v>43862</v>
      </c>
      <c r="G207" s="13" t="s">
        <v>514</v>
      </c>
      <c r="H207" s="4" t="str">
        <f t="shared" si="4"/>
        <v>Small (&lt;5k)</v>
      </c>
    </row>
    <row r="208" spans="1:9" x14ac:dyDescent="0.2">
      <c r="A208" s="15" t="s">
        <v>475</v>
      </c>
      <c r="B208" s="16" t="s">
        <v>2</v>
      </c>
      <c r="C208" s="2">
        <v>3030</v>
      </c>
      <c r="D208" s="2">
        <f>TPData[[#This Row],[Annual Contract Value (ACV)]]/12</f>
        <v>252.5</v>
      </c>
      <c r="E208" s="1">
        <v>43556</v>
      </c>
      <c r="F208" s="1">
        <f>EDATE(TPData[[#This Row],[Close Month]],11)</f>
        <v>43891</v>
      </c>
      <c r="G208" s="13" t="s">
        <v>514</v>
      </c>
      <c r="H208" s="4" t="str">
        <f t="shared" si="4"/>
        <v>Small (&lt;5k)</v>
      </c>
    </row>
    <row r="209" spans="1:9" x14ac:dyDescent="0.2">
      <c r="A209" s="15" t="s">
        <v>476</v>
      </c>
      <c r="B209" s="16" t="s">
        <v>2</v>
      </c>
      <c r="C209" s="2">
        <v>1620</v>
      </c>
      <c r="D209" s="2">
        <f>TPData[[#This Row],[Annual Contract Value (ACV)]]/12</f>
        <v>135</v>
      </c>
      <c r="E209" s="1">
        <v>43556</v>
      </c>
      <c r="F209" s="1">
        <f>EDATE(TPData[[#This Row],[Close Month]],11)</f>
        <v>43891</v>
      </c>
      <c r="G209" s="13" t="s">
        <v>514</v>
      </c>
      <c r="H209" s="4" t="str">
        <f t="shared" si="4"/>
        <v>Small (&lt;5k)</v>
      </c>
    </row>
    <row r="210" spans="1:9" x14ac:dyDescent="0.2">
      <c r="A210" s="15" t="s">
        <v>477</v>
      </c>
      <c r="B210" s="16" t="s">
        <v>2</v>
      </c>
      <c r="C210" s="2">
        <v>6180</v>
      </c>
      <c r="D210" s="2">
        <f>TPData[[#This Row],[Annual Contract Value (ACV)]]/12</f>
        <v>515</v>
      </c>
      <c r="E210" s="1">
        <v>43586</v>
      </c>
      <c r="F210" s="1">
        <f>EDATE(TPData[[#This Row],[Close Month]],11)</f>
        <v>43922</v>
      </c>
      <c r="G210" s="13" t="s">
        <v>514</v>
      </c>
      <c r="H210" s="4" t="str">
        <f t="shared" si="4"/>
        <v>Medium (&lt;10k)</v>
      </c>
      <c r="I210" s="4"/>
    </row>
    <row r="211" spans="1:9" x14ac:dyDescent="0.2">
      <c r="A211" s="15" t="s">
        <v>478</v>
      </c>
      <c r="B211" s="16" t="s">
        <v>2</v>
      </c>
      <c r="C211" s="2">
        <v>1455</v>
      </c>
      <c r="D211" s="2">
        <f>TPData[[#This Row],[Annual Contract Value (ACV)]]/12</f>
        <v>121.25</v>
      </c>
      <c r="E211" s="1">
        <v>43586</v>
      </c>
      <c r="F211" s="1">
        <f>EDATE(TPData[[#This Row],[Close Month]],11)</f>
        <v>43922</v>
      </c>
      <c r="G211" s="13" t="s">
        <v>514</v>
      </c>
      <c r="H211" s="4" t="str">
        <f t="shared" si="4"/>
        <v>Small (&lt;5k)</v>
      </c>
      <c r="I211" s="4"/>
    </row>
    <row r="212" spans="1:9" x14ac:dyDescent="0.2">
      <c r="A212" s="15" t="s">
        <v>479</v>
      </c>
      <c r="B212" s="16" t="s">
        <v>2</v>
      </c>
      <c r="C212" s="2">
        <v>2970</v>
      </c>
      <c r="D212" s="2">
        <f>TPData[[#This Row],[Annual Contract Value (ACV)]]/12</f>
        <v>247.5</v>
      </c>
      <c r="E212" s="1">
        <v>43617</v>
      </c>
      <c r="F212" s="1">
        <f>EDATE(TPData[[#This Row],[Close Month]],11)</f>
        <v>43952</v>
      </c>
      <c r="G212" s="13" t="s">
        <v>514</v>
      </c>
      <c r="H212" s="4" t="str">
        <f t="shared" si="4"/>
        <v>Small (&lt;5k)</v>
      </c>
      <c r="I212" s="4"/>
    </row>
    <row r="213" spans="1:9" x14ac:dyDescent="0.2">
      <c r="A213" s="15" t="s">
        <v>480</v>
      </c>
      <c r="B213" s="16" t="s">
        <v>2</v>
      </c>
      <c r="C213" s="2">
        <v>3628.8</v>
      </c>
      <c r="D213" s="2">
        <f>TPData[[#This Row],[Annual Contract Value (ACV)]]/12</f>
        <v>302.40000000000003</v>
      </c>
      <c r="E213" s="1">
        <v>43617</v>
      </c>
      <c r="F213" s="1">
        <f>EDATE(TPData[[#This Row],[Close Month]],11)</f>
        <v>43952</v>
      </c>
      <c r="G213" s="13" t="s">
        <v>514</v>
      </c>
      <c r="H213" s="4" t="str">
        <f t="shared" si="4"/>
        <v>Small (&lt;5k)</v>
      </c>
      <c r="I213" s="4"/>
    </row>
    <row r="214" spans="1:9" x14ac:dyDescent="0.2">
      <c r="A214" s="15" t="s">
        <v>481</v>
      </c>
      <c r="B214" s="16" t="s">
        <v>2</v>
      </c>
      <c r="C214" s="2">
        <v>13080.000000000002</v>
      </c>
      <c r="D214" s="2">
        <f>TPData[[#This Row],[Annual Contract Value (ACV)]]/12</f>
        <v>1090.0000000000002</v>
      </c>
      <c r="E214" s="1">
        <v>43617</v>
      </c>
      <c r="F214" s="1">
        <f>EDATE(TPData[[#This Row],[Close Month]],11)</f>
        <v>43952</v>
      </c>
      <c r="G214" s="13" t="s">
        <v>514</v>
      </c>
      <c r="H214" s="4" t="str">
        <f t="shared" si="4"/>
        <v>Large (&lt;20k)</v>
      </c>
      <c r="I214" s="4"/>
    </row>
    <row r="215" spans="1:9" x14ac:dyDescent="0.2">
      <c r="A215" s="15" t="s">
        <v>482</v>
      </c>
      <c r="B215" s="16" t="s">
        <v>2</v>
      </c>
      <c r="C215" s="2">
        <v>3333</v>
      </c>
      <c r="D215" s="2">
        <f>TPData[[#This Row],[Annual Contract Value (ACV)]]/12</f>
        <v>277.75</v>
      </c>
      <c r="E215" s="1">
        <v>43617</v>
      </c>
      <c r="F215" s="1">
        <f>EDATE(TPData[[#This Row],[Close Month]],11)</f>
        <v>43952</v>
      </c>
      <c r="G215" s="13" t="s">
        <v>514</v>
      </c>
      <c r="H215" s="4" t="str">
        <f t="shared" si="4"/>
        <v>Small (&lt;5k)</v>
      </c>
      <c r="I215" s="4"/>
    </row>
    <row r="216" spans="1:9" x14ac:dyDescent="0.2">
      <c r="A216" s="15" t="s">
        <v>483</v>
      </c>
      <c r="B216" s="16" t="s">
        <v>2</v>
      </c>
      <c r="C216" s="2">
        <v>5040</v>
      </c>
      <c r="D216" s="2">
        <f>TPData[[#This Row],[Annual Contract Value (ACV)]]/12</f>
        <v>420</v>
      </c>
      <c r="E216" s="1">
        <v>43617</v>
      </c>
      <c r="F216" s="1">
        <f>EDATE(TPData[[#This Row],[Close Month]],11)</f>
        <v>43952</v>
      </c>
      <c r="G216" s="13" t="s">
        <v>514</v>
      </c>
      <c r="H216" s="4" t="str">
        <f t="shared" si="4"/>
        <v>Medium (&lt;10k)</v>
      </c>
      <c r="I216" s="4"/>
    </row>
    <row r="217" spans="1:9" x14ac:dyDescent="0.2">
      <c r="A217" s="15" t="s">
        <v>243</v>
      </c>
      <c r="B217" s="16" t="s">
        <v>2</v>
      </c>
      <c r="C217" s="2">
        <v>1248</v>
      </c>
      <c r="D217" s="2">
        <f>TPData[[#This Row],[Annual Contract Value (ACV)]]/12</f>
        <v>104</v>
      </c>
      <c r="E217" s="1">
        <v>43282</v>
      </c>
      <c r="F217" s="1">
        <f>EDATE(TPData[[#This Row],[Close Month]],11)</f>
        <v>43617</v>
      </c>
      <c r="G217" s="13" t="s">
        <v>515</v>
      </c>
      <c r="H217" s="4" t="str">
        <f t="shared" si="4"/>
        <v>Small (&lt;5k)</v>
      </c>
    </row>
    <row r="218" spans="1:9" x14ac:dyDescent="0.2">
      <c r="A218" s="15" t="s">
        <v>244</v>
      </c>
      <c r="B218" s="16" t="s">
        <v>2</v>
      </c>
      <c r="C218" s="2">
        <v>6670.8</v>
      </c>
      <c r="D218" s="2">
        <f>TPData[[#This Row],[Annual Contract Value (ACV)]]/12</f>
        <v>555.9</v>
      </c>
      <c r="E218" s="1">
        <v>43282</v>
      </c>
      <c r="F218" s="1">
        <f>EDATE(TPData[[#This Row],[Close Month]],11)</f>
        <v>43617</v>
      </c>
      <c r="G218" s="13" t="s">
        <v>515</v>
      </c>
      <c r="H218" s="4" t="str">
        <f t="shared" si="4"/>
        <v>Medium (&lt;10k)</v>
      </c>
    </row>
    <row r="219" spans="1:9" x14ac:dyDescent="0.2">
      <c r="A219" s="15" t="s">
        <v>245</v>
      </c>
      <c r="B219" s="16" t="s">
        <v>2</v>
      </c>
      <c r="C219" s="2">
        <v>1638</v>
      </c>
      <c r="D219" s="2">
        <f>TPData[[#This Row],[Annual Contract Value (ACV)]]/12</f>
        <v>136.5</v>
      </c>
      <c r="E219" s="1">
        <v>43282</v>
      </c>
      <c r="F219" s="1">
        <f>EDATE(TPData[[#This Row],[Close Month]],11)</f>
        <v>43617</v>
      </c>
      <c r="G219" s="13" t="s">
        <v>515</v>
      </c>
      <c r="H219" s="4" t="str">
        <f t="shared" si="4"/>
        <v>Small (&lt;5k)</v>
      </c>
    </row>
    <row r="220" spans="1:9" x14ac:dyDescent="0.2">
      <c r="A220" s="15" t="s">
        <v>246</v>
      </c>
      <c r="B220" s="16" t="s">
        <v>2</v>
      </c>
      <c r="C220" s="2">
        <v>4838.3999999999996</v>
      </c>
      <c r="D220" s="2">
        <f>TPData[[#This Row],[Annual Contract Value (ACV)]]/12</f>
        <v>403.2</v>
      </c>
      <c r="E220" s="1">
        <v>43313</v>
      </c>
      <c r="F220" s="1">
        <f>EDATE(TPData[[#This Row],[Close Month]],11)</f>
        <v>43647</v>
      </c>
      <c r="G220" s="13" t="s">
        <v>515</v>
      </c>
      <c r="H220" s="4" t="str">
        <f t="shared" si="4"/>
        <v>Small (&lt;5k)</v>
      </c>
    </row>
    <row r="221" spans="1:9" x14ac:dyDescent="0.2">
      <c r="A221" s="15" t="s">
        <v>247</v>
      </c>
      <c r="B221" s="16" t="s">
        <v>2</v>
      </c>
      <c r="C221" s="2">
        <v>3030</v>
      </c>
      <c r="D221" s="2">
        <f>TPData[[#This Row],[Annual Contract Value (ACV)]]/12</f>
        <v>252.5</v>
      </c>
      <c r="E221" s="1">
        <v>43313</v>
      </c>
      <c r="F221" s="1">
        <f>EDATE(TPData[[#This Row],[Close Month]],11)</f>
        <v>43647</v>
      </c>
      <c r="G221" s="13" t="s">
        <v>515</v>
      </c>
      <c r="H221" s="4" t="str">
        <f t="shared" si="4"/>
        <v>Small (&lt;5k)</v>
      </c>
    </row>
    <row r="222" spans="1:9" x14ac:dyDescent="0.2">
      <c r="A222" s="15" t="s">
        <v>248</v>
      </c>
      <c r="B222" s="16" t="s">
        <v>2</v>
      </c>
      <c r="C222" s="2">
        <v>1458</v>
      </c>
      <c r="D222" s="2">
        <f>TPData[[#This Row],[Annual Contract Value (ACV)]]/12</f>
        <v>121.5</v>
      </c>
      <c r="E222" s="1">
        <v>43313</v>
      </c>
      <c r="F222" s="1">
        <f>EDATE(TPData[[#This Row],[Close Month]],11)</f>
        <v>43647</v>
      </c>
      <c r="G222" s="13" t="s">
        <v>515</v>
      </c>
      <c r="H222" s="4" t="str">
        <f t="shared" si="4"/>
        <v>Small (&lt;5k)</v>
      </c>
    </row>
    <row r="223" spans="1:9" x14ac:dyDescent="0.2">
      <c r="A223" s="15" t="s">
        <v>249</v>
      </c>
      <c r="B223" s="16" t="s">
        <v>2</v>
      </c>
      <c r="C223" s="2">
        <v>7000.08</v>
      </c>
      <c r="D223" s="2">
        <f>TPData[[#This Row],[Annual Contract Value (ACV)]]/12</f>
        <v>583.34</v>
      </c>
      <c r="E223" s="1">
        <v>43313</v>
      </c>
      <c r="F223" s="1">
        <f>EDATE(TPData[[#This Row],[Close Month]],11)</f>
        <v>43647</v>
      </c>
      <c r="G223" s="13" t="s">
        <v>515</v>
      </c>
      <c r="H223" s="4" t="str">
        <f t="shared" si="4"/>
        <v>Medium (&lt;10k)</v>
      </c>
    </row>
    <row r="224" spans="1:9" x14ac:dyDescent="0.2">
      <c r="A224" s="15" t="s">
        <v>250</v>
      </c>
      <c r="B224" s="16" t="s">
        <v>2</v>
      </c>
      <c r="C224" s="2">
        <v>2921.52</v>
      </c>
      <c r="D224" s="2">
        <f>TPData[[#This Row],[Annual Contract Value (ACV)]]/12</f>
        <v>243.46</v>
      </c>
      <c r="E224" s="1">
        <v>43313</v>
      </c>
      <c r="F224" s="1">
        <f>EDATE(TPData[[#This Row],[Close Month]],11)</f>
        <v>43647</v>
      </c>
      <c r="G224" s="13" t="s">
        <v>515</v>
      </c>
      <c r="H224" s="4" t="str">
        <f t="shared" si="4"/>
        <v>Small (&lt;5k)</v>
      </c>
    </row>
    <row r="225" spans="1:9" x14ac:dyDescent="0.2">
      <c r="A225" s="15" t="s">
        <v>251</v>
      </c>
      <c r="B225" s="16" t="s">
        <v>2</v>
      </c>
      <c r="C225" s="2">
        <v>1952.9999999999998</v>
      </c>
      <c r="D225" s="2">
        <f>TPData[[#This Row],[Annual Contract Value (ACV)]]/12</f>
        <v>162.74999999999997</v>
      </c>
      <c r="E225" s="1">
        <v>43344</v>
      </c>
      <c r="F225" s="1">
        <f>EDATE(TPData[[#This Row],[Close Month]],11)</f>
        <v>43678</v>
      </c>
      <c r="G225" s="13" t="s">
        <v>515</v>
      </c>
      <c r="H225" s="4" t="str">
        <f t="shared" si="4"/>
        <v>Small (&lt;5k)</v>
      </c>
    </row>
    <row r="226" spans="1:9" x14ac:dyDescent="0.2">
      <c r="A226" s="15" t="s">
        <v>252</v>
      </c>
      <c r="B226" s="16" t="s">
        <v>2</v>
      </c>
      <c r="C226" s="2">
        <v>7128</v>
      </c>
      <c r="D226" s="2">
        <f>TPData[[#This Row],[Annual Contract Value (ACV)]]/12</f>
        <v>594</v>
      </c>
      <c r="E226" s="1">
        <v>43374</v>
      </c>
      <c r="F226" s="1">
        <f>EDATE(TPData[[#This Row],[Close Month]],11)</f>
        <v>43709</v>
      </c>
      <c r="G226" s="13" t="s">
        <v>515</v>
      </c>
      <c r="H226" s="4" t="str">
        <f t="shared" si="4"/>
        <v>Medium (&lt;10k)</v>
      </c>
      <c r="I226" s="5"/>
    </row>
    <row r="227" spans="1:9" x14ac:dyDescent="0.2">
      <c r="A227" s="15" t="s">
        <v>253</v>
      </c>
      <c r="B227" s="16" t="s">
        <v>2</v>
      </c>
      <c r="C227" s="2">
        <v>3120</v>
      </c>
      <c r="D227" s="2">
        <f>TPData[[#This Row],[Annual Contract Value (ACV)]]/12</f>
        <v>260</v>
      </c>
      <c r="E227" s="1">
        <v>43374</v>
      </c>
      <c r="F227" s="1">
        <f>EDATE(TPData[[#This Row],[Close Month]],11)</f>
        <v>43709</v>
      </c>
      <c r="G227" s="13" t="s">
        <v>515</v>
      </c>
      <c r="H227" s="4" t="str">
        <f t="shared" si="4"/>
        <v>Small (&lt;5k)</v>
      </c>
      <c r="I227" s="5"/>
    </row>
    <row r="228" spans="1:9" x14ac:dyDescent="0.2">
      <c r="A228" s="15" t="s">
        <v>254</v>
      </c>
      <c r="B228" s="16" t="s">
        <v>2</v>
      </c>
      <c r="C228" s="2">
        <v>6732.0000000000009</v>
      </c>
      <c r="D228" s="2">
        <f>TPData[[#This Row],[Annual Contract Value (ACV)]]/12</f>
        <v>561.00000000000011</v>
      </c>
      <c r="E228" s="1">
        <v>43374</v>
      </c>
      <c r="F228" s="1">
        <f>EDATE(TPData[[#This Row],[Close Month]],11)</f>
        <v>43709</v>
      </c>
      <c r="G228" s="13" t="s">
        <v>515</v>
      </c>
      <c r="H228" s="4" t="str">
        <f t="shared" si="4"/>
        <v>Medium (&lt;10k)</v>
      </c>
      <c r="I228" s="5"/>
    </row>
    <row r="229" spans="1:9" x14ac:dyDescent="0.2">
      <c r="A229" s="15" t="s">
        <v>255</v>
      </c>
      <c r="B229" s="16" t="s">
        <v>2</v>
      </c>
      <c r="C229" s="2">
        <v>3240</v>
      </c>
      <c r="D229" s="2">
        <f>TPData[[#This Row],[Annual Contract Value (ACV)]]/12</f>
        <v>270</v>
      </c>
      <c r="E229" s="1">
        <v>43374</v>
      </c>
      <c r="F229" s="1">
        <f>EDATE(TPData[[#This Row],[Close Month]],11)</f>
        <v>43709</v>
      </c>
      <c r="G229" s="13" t="s">
        <v>515</v>
      </c>
      <c r="H229" s="4" t="str">
        <f t="shared" si="4"/>
        <v>Small (&lt;5k)</v>
      </c>
      <c r="I229" s="5"/>
    </row>
    <row r="230" spans="1:9" x14ac:dyDescent="0.2">
      <c r="A230" s="15" t="s">
        <v>256</v>
      </c>
      <c r="B230" s="16" t="s">
        <v>2</v>
      </c>
      <c r="C230" s="2">
        <v>3300.0000000000005</v>
      </c>
      <c r="D230" s="2">
        <f>TPData[[#This Row],[Annual Contract Value (ACV)]]/12</f>
        <v>275.00000000000006</v>
      </c>
      <c r="E230" s="1">
        <v>43405</v>
      </c>
      <c r="F230" s="1">
        <f>EDATE(TPData[[#This Row],[Close Month]],11)</f>
        <v>43739</v>
      </c>
      <c r="G230" s="13" t="s">
        <v>515</v>
      </c>
      <c r="H230" s="4" t="str">
        <f t="shared" si="4"/>
        <v>Small (&lt;5k)</v>
      </c>
      <c r="I230" s="5"/>
    </row>
    <row r="231" spans="1:9" x14ac:dyDescent="0.2">
      <c r="A231" s="15" t="s">
        <v>257</v>
      </c>
      <c r="B231" s="16" t="s">
        <v>2</v>
      </c>
      <c r="C231" s="2">
        <v>11157.3</v>
      </c>
      <c r="D231" s="2">
        <f>TPData[[#This Row],[Annual Contract Value (ACV)]]/12</f>
        <v>929.77499999999998</v>
      </c>
      <c r="E231" s="1">
        <v>43405</v>
      </c>
      <c r="F231" s="1">
        <f>EDATE(TPData[[#This Row],[Close Month]],11)</f>
        <v>43739</v>
      </c>
      <c r="G231" s="13" t="s">
        <v>515</v>
      </c>
      <c r="H231" s="4" t="str">
        <f t="shared" si="4"/>
        <v>Large (&lt;20k)</v>
      </c>
      <c r="I231" s="5"/>
    </row>
    <row r="232" spans="1:9" x14ac:dyDescent="0.2">
      <c r="A232" s="15" t="s">
        <v>258</v>
      </c>
      <c r="B232" s="16" t="s">
        <v>2</v>
      </c>
      <c r="C232" s="2">
        <v>13992</v>
      </c>
      <c r="D232" s="2">
        <f>TPData[[#This Row],[Annual Contract Value (ACV)]]/12</f>
        <v>1166</v>
      </c>
      <c r="E232" s="1">
        <v>43405</v>
      </c>
      <c r="F232" s="1">
        <f>EDATE(TPData[[#This Row],[Close Month]],11)</f>
        <v>43739</v>
      </c>
      <c r="G232" s="13" t="s">
        <v>515</v>
      </c>
      <c r="H232" s="4" t="str">
        <f t="shared" si="4"/>
        <v>Large (&lt;20k)</v>
      </c>
      <c r="I232" s="5"/>
    </row>
    <row r="233" spans="1:9" x14ac:dyDescent="0.2">
      <c r="A233" s="15" t="s">
        <v>259</v>
      </c>
      <c r="B233" s="16" t="s">
        <v>2</v>
      </c>
      <c r="C233" s="2">
        <v>4200.0839999999998</v>
      </c>
      <c r="D233" s="2">
        <f>TPData[[#This Row],[Annual Contract Value (ACV)]]/12</f>
        <v>350.00700000000001</v>
      </c>
      <c r="E233" s="1">
        <v>43405</v>
      </c>
      <c r="F233" s="1">
        <f>EDATE(TPData[[#This Row],[Close Month]],11)</f>
        <v>43739</v>
      </c>
      <c r="G233" s="13" t="s">
        <v>515</v>
      </c>
      <c r="H233" s="4" t="str">
        <f t="shared" si="4"/>
        <v>Small (&lt;5k)</v>
      </c>
      <c r="I233" s="5"/>
    </row>
    <row r="234" spans="1:9" x14ac:dyDescent="0.2">
      <c r="A234" s="15" t="s">
        <v>260</v>
      </c>
      <c r="B234" s="16" t="s">
        <v>2</v>
      </c>
      <c r="C234" s="2">
        <v>7379.3436000000002</v>
      </c>
      <c r="D234" s="2">
        <f>TPData[[#This Row],[Annual Contract Value (ACV)]]/12</f>
        <v>614.94529999999997</v>
      </c>
      <c r="E234" s="1">
        <v>43435</v>
      </c>
      <c r="F234" s="1">
        <f>EDATE(TPData[[#This Row],[Close Month]],11)</f>
        <v>43770</v>
      </c>
      <c r="G234" s="13" t="s">
        <v>515</v>
      </c>
      <c r="H234" s="4" t="str">
        <f t="shared" si="4"/>
        <v>Medium (&lt;10k)</v>
      </c>
      <c r="I234" s="5"/>
    </row>
    <row r="235" spans="1:9" x14ac:dyDescent="0.2">
      <c r="A235" s="15" t="s">
        <v>261</v>
      </c>
      <c r="B235" s="16" t="s">
        <v>2</v>
      </c>
      <c r="C235" s="2">
        <v>5670</v>
      </c>
      <c r="D235" s="2">
        <f>TPData[[#This Row],[Annual Contract Value (ACV)]]/12</f>
        <v>472.5</v>
      </c>
      <c r="E235" s="1">
        <v>43435</v>
      </c>
      <c r="F235" s="1">
        <f>EDATE(TPData[[#This Row],[Close Month]],11)</f>
        <v>43770</v>
      </c>
      <c r="G235" s="13" t="s">
        <v>515</v>
      </c>
      <c r="H235" s="4" t="str">
        <f t="shared" si="4"/>
        <v>Medium (&lt;10k)</v>
      </c>
      <c r="I235" s="5"/>
    </row>
    <row r="236" spans="1:9" x14ac:dyDescent="0.2">
      <c r="A236" s="15" t="s">
        <v>262</v>
      </c>
      <c r="B236" s="16" t="s">
        <v>2</v>
      </c>
      <c r="C236" s="2">
        <v>4888.8</v>
      </c>
      <c r="D236" s="2">
        <f>TPData[[#This Row],[Annual Contract Value (ACV)]]/12</f>
        <v>407.40000000000003</v>
      </c>
      <c r="E236" s="1">
        <v>43435</v>
      </c>
      <c r="F236" s="1">
        <f>EDATE(TPData[[#This Row],[Close Month]],11)</f>
        <v>43770</v>
      </c>
      <c r="G236" s="13" t="s">
        <v>515</v>
      </c>
      <c r="H236" s="4" t="str">
        <f t="shared" si="4"/>
        <v>Small (&lt;5k)</v>
      </c>
      <c r="I236" s="5"/>
    </row>
    <row r="237" spans="1:9" x14ac:dyDescent="0.2">
      <c r="A237" s="15" t="s">
        <v>263</v>
      </c>
      <c r="B237" s="16" t="s">
        <v>2</v>
      </c>
      <c r="C237" s="2">
        <v>19762.080000000002</v>
      </c>
      <c r="D237" s="2">
        <f>TPData[[#This Row],[Annual Contract Value (ACV)]]/12</f>
        <v>1646.8400000000001</v>
      </c>
      <c r="E237" s="1">
        <v>43435</v>
      </c>
      <c r="F237" s="1">
        <f>EDATE(TPData[[#This Row],[Close Month]],11)</f>
        <v>43770</v>
      </c>
      <c r="G237" s="13" t="s">
        <v>515</v>
      </c>
      <c r="H237" s="4" t="str">
        <f t="shared" si="4"/>
        <v>Large (&lt;20k)</v>
      </c>
      <c r="I237" s="5"/>
    </row>
    <row r="238" spans="1:9" x14ac:dyDescent="0.2">
      <c r="A238" s="15" t="s">
        <v>264</v>
      </c>
      <c r="B238" s="16" t="s">
        <v>2</v>
      </c>
      <c r="C238" s="2">
        <v>13160.0376</v>
      </c>
      <c r="D238" s="2">
        <f>TPData[[#This Row],[Annual Contract Value (ACV)]]/12</f>
        <v>1096.6697999999999</v>
      </c>
      <c r="E238" s="1">
        <v>43435</v>
      </c>
      <c r="F238" s="1">
        <f>EDATE(TPData[[#This Row],[Close Month]],11)</f>
        <v>43770</v>
      </c>
      <c r="G238" s="13" t="s">
        <v>515</v>
      </c>
      <c r="H238" s="4" t="str">
        <f t="shared" si="4"/>
        <v>Large (&lt;20k)</v>
      </c>
      <c r="I238" s="5"/>
    </row>
    <row r="239" spans="1:9" x14ac:dyDescent="0.2">
      <c r="A239" s="15" t="s">
        <v>265</v>
      </c>
      <c r="B239" s="16" t="s">
        <v>2</v>
      </c>
      <c r="C239" s="2">
        <v>18480</v>
      </c>
      <c r="D239" s="2">
        <f>TPData[[#This Row],[Annual Contract Value (ACV)]]/12</f>
        <v>1540</v>
      </c>
      <c r="E239" s="1">
        <v>43466</v>
      </c>
      <c r="F239" s="1">
        <f>EDATE(TPData[[#This Row],[Close Month]],11)</f>
        <v>43800</v>
      </c>
      <c r="G239" s="13" t="s">
        <v>515</v>
      </c>
      <c r="H239" s="4" t="str">
        <f t="shared" si="4"/>
        <v>Large (&lt;20k)</v>
      </c>
    </row>
    <row r="240" spans="1:9" x14ac:dyDescent="0.2">
      <c r="A240" s="15" t="s">
        <v>266</v>
      </c>
      <c r="B240" s="16" t="s">
        <v>2</v>
      </c>
      <c r="C240" s="2">
        <v>10944</v>
      </c>
      <c r="D240" s="2">
        <f>TPData[[#This Row],[Annual Contract Value (ACV)]]/12</f>
        <v>912</v>
      </c>
      <c r="E240" s="1">
        <v>43466</v>
      </c>
      <c r="F240" s="1">
        <f>EDATE(TPData[[#This Row],[Close Month]],11)</f>
        <v>43800</v>
      </c>
      <c r="G240" s="13" t="s">
        <v>515</v>
      </c>
      <c r="H240" s="4" t="str">
        <f t="shared" si="4"/>
        <v>Large (&lt;20k)</v>
      </c>
    </row>
    <row r="241" spans="1:9" x14ac:dyDescent="0.2">
      <c r="A241" s="15" t="s">
        <v>267</v>
      </c>
      <c r="B241" s="16" t="s">
        <v>2</v>
      </c>
      <c r="C241" s="2">
        <v>4400.0880000000006</v>
      </c>
      <c r="D241" s="2">
        <f>TPData[[#This Row],[Annual Contract Value (ACV)]]/12</f>
        <v>366.67400000000004</v>
      </c>
      <c r="E241" s="1">
        <v>43466</v>
      </c>
      <c r="F241" s="1">
        <f>EDATE(TPData[[#This Row],[Close Month]],11)</f>
        <v>43800</v>
      </c>
      <c r="G241" s="13" t="s">
        <v>515</v>
      </c>
      <c r="H241" s="4" t="str">
        <f t="shared" si="4"/>
        <v>Small (&lt;5k)</v>
      </c>
    </row>
    <row r="242" spans="1:9" x14ac:dyDescent="0.2">
      <c r="A242" s="15" t="s">
        <v>268</v>
      </c>
      <c r="B242" s="16" t="s">
        <v>2</v>
      </c>
      <c r="C242" s="2">
        <v>3300.0000000000005</v>
      </c>
      <c r="D242" s="2">
        <f>TPData[[#This Row],[Annual Contract Value (ACV)]]/12</f>
        <v>275.00000000000006</v>
      </c>
      <c r="E242" s="1">
        <v>43466</v>
      </c>
      <c r="F242" s="1">
        <f>EDATE(TPData[[#This Row],[Close Month]],11)</f>
        <v>43800</v>
      </c>
      <c r="G242" s="13" t="s">
        <v>515</v>
      </c>
      <c r="H242" s="4" t="str">
        <f t="shared" si="4"/>
        <v>Small (&lt;5k)</v>
      </c>
    </row>
    <row r="243" spans="1:9" x14ac:dyDescent="0.2">
      <c r="A243" s="15" t="s">
        <v>269</v>
      </c>
      <c r="B243" s="16" t="s">
        <v>2</v>
      </c>
      <c r="C243" s="2">
        <v>1272</v>
      </c>
      <c r="D243" s="2">
        <f>TPData[[#This Row],[Annual Contract Value (ACV)]]/12</f>
        <v>106</v>
      </c>
      <c r="E243" s="1">
        <v>43497</v>
      </c>
      <c r="F243" s="1">
        <f>EDATE(TPData[[#This Row],[Close Month]],11)</f>
        <v>43831</v>
      </c>
      <c r="G243" s="13" t="s">
        <v>515</v>
      </c>
      <c r="H243" s="4" t="str">
        <f t="shared" si="4"/>
        <v>Small (&lt;5k)</v>
      </c>
      <c r="I243" s="4"/>
    </row>
    <row r="244" spans="1:9" x14ac:dyDescent="0.2">
      <c r="A244" s="15" t="s">
        <v>270</v>
      </c>
      <c r="B244" s="16" t="s">
        <v>2</v>
      </c>
      <c r="C244" s="2">
        <v>2496</v>
      </c>
      <c r="D244" s="2">
        <f>TPData[[#This Row],[Annual Contract Value (ACV)]]/12</f>
        <v>208</v>
      </c>
      <c r="E244" s="1">
        <v>43497</v>
      </c>
      <c r="F244" s="1">
        <f>EDATE(TPData[[#This Row],[Close Month]],11)</f>
        <v>43831</v>
      </c>
      <c r="G244" s="13" t="s">
        <v>515</v>
      </c>
      <c r="H244" s="4" t="str">
        <f t="shared" si="4"/>
        <v>Small (&lt;5k)</v>
      </c>
      <c r="I244" s="4"/>
    </row>
    <row r="245" spans="1:9" x14ac:dyDescent="0.2">
      <c r="A245" s="15" t="s">
        <v>271</v>
      </c>
      <c r="B245" s="16" t="s">
        <v>2</v>
      </c>
      <c r="C245" s="2">
        <v>25000</v>
      </c>
      <c r="D245" s="2">
        <f>TPData[[#This Row],[Annual Contract Value (ACV)]]/12</f>
        <v>2083.3333333333335</v>
      </c>
      <c r="E245" s="1">
        <v>43497</v>
      </c>
      <c r="F245" s="1">
        <f>EDATE(TPData[[#This Row],[Close Month]],11)</f>
        <v>43831</v>
      </c>
      <c r="G245" s="13" t="s">
        <v>515</v>
      </c>
      <c r="H245" s="4" t="str">
        <f t="shared" si="4"/>
        <v>Mega (20k+)</v>
      </c>
      <c r="I245" s="4"/>
    </row>
    <row r="246" spans="1:9" x14ac:dyDescent="0.2">
      <c r="A246" s="15" t="s">
        <v>272</v>
      </c>
      <c r="B246" s="16" t="s">
        <v>2</v>
      </c>
      <c r="C246" s="2">
        <v>4608</v>
      </c>
      <c r="D246" s="2">
        <f>TPData[[#This Row],[Annual Contract Value (ACV)]]/12</f>
        <v>384</v>
      </c>
      <c r="E246" s="1">
        <v>43497</v>
      </c>
      <c r="F246" s="1">
        <f>EDATE(TPData[[#This Row],[Close Month]],11)</f>
        <v>43831</v>
      </c>
      <c r="G246" s="13" t="s">
        <v>515</v>
      </c>
      <c r="H246" s="4" t="str">
        <f t="shared" si="4"/>
        <v>Small (&lt;5k)</v>
      </c>
      <c r="I246" s="4"/>
    </row>
    <row r="247" spans="1:9" x14ac:dyDescent="0.2">
      <c r="A247" s="15" t="s">
        <v>273</v>
      </c>
      <c r="B247" s="16" t="s">
        <v>2</v>
      </c>
      <c r="C247" s="2">
        <v>1800.9</v>
      </c>
      <c r="D247" s="2">
        <f>TPData[[#This Row],[Annual Contract Value (ACV)]]/12</f>
        <v>150.07500000000002</v>
      </c>
      <c r="E247" s="1">
        <v>43525</v>
      </c>
      <c r="F247" s="1">
        <f>EDATE(TPData[[#This Row],[Close Month]],11)</f>
        <v>43862</v>
      </c>
      <c r="G247" s="13" t="s">
        <v>515</v>
      </c>
      <c r="H247" s="4" t="str">
        <f t="shared" si="4"/>
        <v>Small (&lt;5k)</v>
      </c>
    </row>
    <row r="248" spans="1:9" x14ac:dyDescent="0.2">
      <c r="A248" s="15" t="s">
        <v>274</v>
      </c>
      <c r="B248" s="16" t="s">
        <v>2</v>
      </c>
      <c r="C248" s="2">
        <v>2352</v>
      </c>
      <c r="D248" s="2">
        <f>TPData[[#This Row],[Annual Contract Value (ACV)]]/12</f>
        <v>196</v>
      </c>
      <c r="E248" s="1">
        <v>43525</v>
      </c>
      <c r="F248" s="1">
        <f>EDATE(TPData[[#This Row],[Close Month]],11)</f>
        <v>43862</v>
      </c>
      <c r="G248" s="13" t="s">
        <v>515</v>
      </c>
      <c r="H248" s="4" t="str">
        <f t="shared" si="4"/>
        <v>Small (&lt;5k)</v>
      </c>
    </row>
    <row r="249" spans="1:9" x14ac:dyDescent="0.2">
      <c r="A249" s="15" t="s">
        <v>275</v>
      </c>
      <c r="B249" s="16" t="s">
        <v>2</v>
      </c>
      <c r="C249" s="2">
        <v>3150</v>
      </c>
      <c r="D249" s="2">
        <f>TPData[[#This Row],[Annual Contract Value (ACV)]]/12</f>
        <v>262.5</v>
      </c>
      <c r="E249" s="1">
        <v>43525</v>
      </c>
      <c r="F249" s="1">
        <f>EDATE(TPData[[#This Row],[Close Month]],11)</f>
        <v>43862</v>
      </c>
      <c r="G249" s="13" t="s">
        <v>515</v>
      </c>
      <c r="H249" s="4" t="str">
        <f t="shared" si="4"/>
        <v>Small (&lt;5k)</v>
      </c>
    </row>
    <row r="250" spans="1:9" x14ac:dyDescent="0.2">
      <c r="A250" s="15" t="s">
        <v>276</v>
      </c>
      <c r="B250" s="16" t="s">
        <v>2</v>
      </c>
      <c r="C250" s="2">
        <v>15600</v>
      </c>
      <c r="D250" s="2">
        <f>TPData[[#This Row],[Annual Contract Value (ACV)]]/12</f>
        <v>1300</v>
      </c>
      <c r="E250" s="1">
        <v>43525</v>
      </c>
      <c r="F250" s="1">
        <f>EDATE(TPData[[#This Row],[Close Month]],11)</f>
        <v>43862</v>
      </c>
      <c r="G250" s="13" t="s">
        <v>515</v>
      </c>
      <c r="H250" s="4" t="str">
        <f t="shared" si="4"/>
        <v>Large (&lt;20k)</v>
      </c>
    </row>
    <row r="251" spans="1:9" x14ac:dyDescent="0.2">
      <c r="A251" s="15" t="s">
        <v>277</v>
      </c>
      <c r="B251" s="16" t="s">
        <v>2</v>
      </c>
      <c r="C251" s="2">
        <v>9240</v>
      </c>
      <c r="D251" s="2">
        <f>TPData[[#This Row],[Annual Contract Value (ACV)]]/12</f>
        <v>770</v>
      </c>
      <c r="E251" s="1">
        <v>43525</v>
      </c>
      <c r="F251" s="1">
        <f>EDATE(TPData[[#This Row],[Close Month]],11)</f>
        <v>43862</v>
      </c>
      <c r="G251" s="13" t="s">
        <v>515</v>
      </c>
      <c r="H251" s="4" t="str">
        <f t="shared" si="4"/>
        <v>Medium (&lt;10k)</v>
      </c>
    </row>
    <row r="252" spans="1:9" x14ac:dyDescent="0.2">
      <c r="A252" s="15" t="s">
        <v>278</v>
      </c>
      <c r="B252" s="16" t="s">
        <v>2</v>
      </c>
      <c r="C252" s="2">
        <v>1164</v>
      </c>
      <c r="D252" s="2">
        <f>TPData[[#This Row],[Annual Contract Value (ACV)]]/12</f>
        <v>97</v>
      </c>
      <c r="E252" s="1">
        <v>43556</v>
      </c>
      <c r="F252" s="1">
        <f>EDATE(TPData[[#This Row],[Close Month]],11)</f>
        <v>43891</v>
      </c>
      <c r="G252" s="13" t="s">
        <v>515</v>
      </c>
      <c r="H252" s="4" t="str">
        <f t="shared" si="4"/>
        <v>Small (&lt;5k)</v>
      </c>
    </row>
    <row r="253" spans="1:9" x14ac:dyDescent="0.2">
      <c r="A253" s="15" t="s">
        <v>279</v>
      </c>
      <c r="B253" s="16" t="s">
        <v>2</v>
      </c>
      <c r="C253" s="2">
        <v>11289.6</v>
      </c>
      <c r="D253" s="2">
        <f>TPData[[#This Row],[Annual Contract Value (ACV)]]/12</f>
        <v>940.80000000000007</v>
      </c>
      <c r="E253" s="1">
        <v>43556</v>
      </c>
      <c r="F253" s="1">
        <f>EDATE(TPData[[#This Row],[Close Month]],11)</f>
        <v>43891</v>
      </c>
      <c r="G253" s="13" t="s">
        <v>515</v>
      </c>
      <c r="H253" s="4" t="str">
        <f t="shared" si="4"/>
        <v>Large (&lt;20k)</v>
      </c>
    </row>
    <row r="254" spans="1:9" x14ac:dyDescent="0.2">
      <c r="A254" s="15" t="s">
        <v>280</v>
      </c>
      <c r="B254" s="16" t="s">
        <v>2</v>
      </c>
      <c r="C254" s="2">
        <v>7848.0000000000009</v>
      </c>
      <c r="D254" s="2">
        <f>TPData[[#This Row],[Annual Contract Value (ACV)]]/12</f>
        <v>654.00000000000011</v>
      </c>
      <c r="E254" s="1">
        <v>43556</v>
      </c>
      <c r="F254" s="1">
        <f>EDATE(TPData[[#This Row],[Close Month]],11)</f>
        <v>43891</v>
      </c>
      <c r="G254" s="13" t="s">
        <v>515</v>
      </c>
      <c r="H254" s="4" t="str">
        <f t="shared" si="4"/>
        <v>Medium (&lt;10k)</v>
      </c>
    </row>
    <row r="255" spans="1:9" x14ac:dyDescent="0.2">
      <c r="A255" s="15" t="s">
        <v>281</v>
      </c>
      <c r="B255" s="16" t="s">
        <v>2</v>
      </c>
      <c r="C255" s="2">
        <v>1128</v>
      </c>
      <c r="D255" s="2">
        <f>TPData[[#This Row],[Annual Contract Value (ACV)]]/12</f>
        <v>94</v>
      </c>
      <c r="E255" s="1">
        <v>43556</v>
      </c>
      <c r="F255" s="1">
        <f>EDATE(TPData[[#This Row],[Close Month]],11)</f>
        <v>43891</v>
      </c>
      <c r="G255" s="13" t="s">
        <v>515</v>
      </c>
      <c r="H255" s="4" t="str">
        <f t="shared" si="4"/>
        <v>Small (&lt;5k)</v>
      </c>
    </row>
    <row r="256" spans="1:9" x14ac:dyDescent="0.2">
      <c r="A256" s="15" t="s">
        <v>282</v>
      </c>
      <c r="B256" s="16" t="s">
        <v>2</v>
      </c>
      <c r="C256" s="2">
        <v>1104</v>
      </c>
      <c r="D256" s="2">
        <f>TPData[[#This Row],[Annual Contract Value (ACV)]]/12</f>
        <v>92</v>
      </c>
      <c r="E256" s="1">
        <v>43586</v>
      </c>
      <c r="F256" s="1">
        <f>EDATE(TPData[[#This Row],[Close Month]],11)</f>
        <v>43922</v>
      </c>
      <c r="G256" s="13" t="s">
        <v>515</v>
      </c>
      <c r="H256" s="4" t="str">
        <f t="shared" si="4"/>
        <v>Small (&lt;5k)</v>
      </c>
      <c r="I256" s="4"/>
    </row>
    <row r="257" spans="1:9" x14ac:dyDescent="0.2">
      <c r="A257" s="15" t="s">
        <v>283</v>
      </c>
      <c r="B257" s="16" t="s">
        <v>2</v>
      </c>
      <c r="C257" s="2">
        <v>1272</v>
      </c>
      <c r="D257" s="2">
        <f>TPData[[#This Row],[Annual Contract Value (ACV)]]/12</f>
        <v>106</v>
      </c>
      <c r="E257" s="1">
        <v>43586</v>
      </c>
      <c r="F257" s="1">
        <f>EDATE(TPData[[#This Row],[Close Month]],11)</f>
        <v>43922</v>
      </c>
      <c r="G257" s="13" t="s">
        <v>515</v>
      </c>
      <c r="H257" s="4" t="str">
        <f t="shared" si="4"/>
        <v>Small (&lt;5k)</v>
      </c>
      <c r="I257" s="4"/>
    </row>
    <row r="258" spans="1:9" x14ac:dyDescent="0.2">
      <c r="A258" s="15" t="s">
        <v>284</v>
      </c>
      <c r="B258" s="16" t="s">
        <v>2</v>
      </c>
      <c r="C258" s="2">
        <v>14400</v>
      </c>
      <c r="D258" s="2">
        <f>TPData[[#This Row],[Annual Contract Value (ACV)]]/12</f>
        <v>1200</v>
      </c>
      <c r="E258" s="1">
        <v>43586</v>
      </c>
      <c r="F258" s="1">
        <f>EDATE(TPData[[#This Row],[Close Month]],11)</f>
        <v>43922</v>
      </c>
      <c r="G258" s="13" t="s">
        <v>515</v>
      </c>
      <c r="H258" s="4" t="str">
        <f t="shared" ref="H258:H321" si="5">IF(C258&lt;=5000,$J$5,IF((C258&lt;10000),$J$6,IF((C258&lt;20000),$J$7,IF((C258&gt;=20000),$J$8))))</f>
        <v>Large (&lt;20k)</v>
      </c>
      <c r="I258" s="4"/>
    </row>
    <row r="259" spans="1:9" x14ac:dyDescent="0.2">
      <c r="A259" s="15" t="s">
        <v>285</v>
      </c>
      <c r="B259" s="16" t="s">
        <v>2</v>
      </c>
      <c r="C259" s="2">
        <v>1962.0000000000002</v>
      </c>
      <c r="D259" s="2">
        <f>TPData[[#This Row],[Annual Contract Value (ACV)]]/12</f>
        <v>163.50000000000003</v>
      </c>
      <c r="E259" s="1">
        <v>43586</v>
      </c>
      <c r="F259" s="1">
        <f>EDATE(TPData[[#This Row],[Close Month]],11)</f>
        <v>43922</v>
      </c>
      <c r="G259" s="13" t="s">
        <v>515</v>
      </c>
      <c r="H259" s="4" t="str">
        <f t="shared" si="5"/>
        <v>Small (&lt;5k)</v>
      </c>
      <c r="I259" s="4"/>
    </row>
    <row r="260" spans="1:9" x14ac:dyDescent="0.2">
      <c r="A260" s="15" t="s">
        <v>286</v>
      </c>
      <c r="B260" s="16" t="s">
        <v>2</v>
      </c>
      <c r="C260" s="2">
        <v>15750</v>
      </c>
      <c r="D260" s="2">
        <f>TPData[[#This Row],[Annual Contract Value (ACV)]]/12</f>
        <v>1312.5</v>
      </c>
      <c r="E260" s="1">
        <v>43586</v>
      </c>
      <c r="F260" s="1">
        <f>EDATE(TPData[[#This Row],[Close Month]],11)</f>
        <v>43922</v>
      </c>
      <c r="G260" s="13" t="s">
        <v>515</v>
      </c>
      <c r="H260" s="4" t="str">
        <f t="shared" si="5"/>
        <v>Large (&lt;20k)</v>
      </c>
      <c r="I260" s="4"/>
    </row>
    <row r="261" spans="1:9" x14ac:dyDescent="0.2">
      <c r="A261" s="15" t="s">
        <v>287</v>
      </c>
      <c r="B261" s="16" t="s">
        <v>2</v>
      </c>
      <c r="C261" s="2">
        <v>6480</v>
      </c>
      <c r="D261" s="2">
        <f>TPData[[#This Row],[Annual Contract Value (ACV)]]/12</f>
        <v>540</v>
      </c>
      <c r="E261" s="1">
        <v>43586</v>
      </c>
      <c r="F261" s="1">
        <f>EDATE(TPData[[#This Row],[Close Month]],11)</f>
        <v>43922</v>
      </c>
      <c r="G261" s="13" t="s">
        <v>515</v>
      </c>
      <c r="H261" s="4" t="str">
        <f t="shared" si="5"/>
        <v>Medium (&lt;10k)</v>
      </c>
      <c r="I261" s="4"/>
    </row>
    <row r="262" spans="1:9" x14ac:dyDescent="0.2">
      <c r="A262" s="15" t="s">
        <v>288</v>
      </c>
      <c r="B262" s="16" t="s">
        <v>2</v>
      </c>
      <c r="C262" s="2">
        <v>4752</v>
      </c>
      <c r="D262" s="2">
        <f>TPData[[#This Row],[Annual Contract Value (ACV)]]/12</f>
        <v>396</v>
      </c>
      <c r="E262" s="1">
        <v>43586</v>
      </c>
      <c r="F262" s="1">
        <f>EDATE(TPData[[#This Row],[Close Month]],11)</f>
        <v>43922</v>
      </c>
      <c r="G262" s="13" t="s">
        <v>515</v>
      </c>
      <c r="H262" s="4" t="str">
        <f t="shared" si="5"/>
        <v>Small (&lt;5k)</v>
      </c>
      <c r="I262" s="4"/>
    </row>
    <row r="263" spans="1:9" x14ac:dyDescent="0.2">
      <c r="A263" s="15" t="s">
        <v>289</v>
      </c>
      <c r="B263" s="16" t="s">
        <v>2</v>
      </c>
      <c r="C263" s="2">
        <v>10920</v>
      </c>
      <c r="D263" s="2">
        <f>TPData[[#This Row],[Annual Contract Value (ACV)]]/12</f>
        <v>910</v>
      </c>
      <c r="E263" s="1">
        <v>43586</v>
      </c>
      <c r="F263" s="1">
        <f>EDATE(TPData[[#This Row],[Close Month]],11)</f>
        <v>43922</v>
      </c>
      <c r="G263" s="13" t="s">
        <v>515</v>
      </c>
      <c r="H263" s="4" t="str">
        <f t="shared" si="5"/>
        <v>Large (&lt;20k)</v>
      </c>
      <c r="I263" s="4"/>
    </row>
    <row r="264" spans="1:9" x14ac:dyDescent="0.2">
      <c r="A264" s="15" t="s">
        <v>290</v>
      </c>
      <c r="B264" s="16" t="s">
        <v>2</v>
      </c>
      <c r="C264" s="2">
        <v>14968.8</v>
      </c>
      <c r="D264" s="2">
        <f>TPData[[#This Row],[Annual Contract Value (ACV)]]/12</f>
        <v>1247.3999999999999</v>
      </c>
      <c r="E264" s="1">
        <v>43617</v>
      </c>
      <c r="F264" s="1">
        <f>EDATE(TPData[[#This Row],[Close Month]],11)</f>
        <v>43952</v>
      </c>
      <c r="G264" s="13" t="s">
        <v>515</v>
      </c>
      <c r="H264" s="4" t="str">
        <f t="shared" si="5"/>
        <v>Large (&lt;20k)</v>
      </c>
      <c r="I264" s="4"/>
    </row>
    <row r="265" spans="1:9" x14ac:dyDescent="0.2">
      <c r="A265" s="15" t="s">
        <v>291</v>
      </c>
      <c r="B265" s="16" t="s">
        <v>2</v>
      </c>
      <c r="C265" s="2">
        <v>4320</v>
      </c>
      <c r="D265" s="2">
        <f>TPData[[#This Row],[Annual Contract Value (ACV)]]/12</f>
        <v>360</v>
      </c>
      <c r="E265" s="1">
        <v>43617</v>
      </c>
      <c r="F265" s="1">
        <f>EDATE(TPData[[#This Row],[Close Month]],11)</f>
        <v>43952</v>
      </c>
      <c r="G265" s="13" t="s">
        <v>515</v>
      </c>
      <c r="H265" s="4" t="str">
        <f t="shared" si="5"/>
        <v>Small (&lt;5k)</v>
      </c>
      <c r="I265" s="4"/>
    </row>
    <row r="266" spans="1:9" x14ac:dyDescent="0.2">
      <c r="A266" s="15" t="s">
        <v>292</v>
      </c>
      <c r="B266" s="16" t="s">
        <v>2</v>
      </c>
      <c r="C266" s="2">
        <v>3852</v>
      </c>
      <c r="D266" s="2">
        <f>TPData[[#This Row],[Annual Contract Value (ACV)]]/12</f>
        <v>321</v>
      </c>
      <c r="E266" s="1">
        <v>43617</v>
      </c>
      <c r="F266" s="1">
        <f>EDATE(TPData[[#This Row],[Close Month]],11)</f>
        <v>43952</v>
      </c>
      <c r="G266" s="13" t="s">
        <v>515</v>
      </c>
      <c r="H266" s="4" t="str">
        <f t="shared" si="5"/>
        <v>Small (&lt;5k)</v>
      </c>
      <c r="I266" s="4"/>
    </row>
    <row r="267" spans="1:9" x14ac:dyDescent="0.2">
      <c r="A267" s="15" t="s">
        <v>50</v>
      </c>
      <c r="B267" s="16" t="s">
        <v>2</v>
      </c>
      <c r="C267" s="2">
        <v>6000</v>
      </c>
      <c r="D267" s="2">
        <f>TPData[[#This Row],[Annual Contract Value (ACV)]]/12</f>
        <v>500</v>
      </c>
      <c r="E267" s="1">
        <v>43282</v>
      </c>
      <c r="F267" s="1">
        <f>EDATE(TPData[[#This Row],[Close Month]],11)</f>
        <v>43617</v>
      </c>
      <c r="G267" s="13" t="s">
        <v>516</v>
      </c>
      <c r="H267" s="4" t="str">
        <f t="shared" si="5"/>
        <v>Medium (&lt;10k)</v>
      </c>
    </row>
    <row r="268" spans="1:9" x14ac:dyDescent="0.2">
      <c r="A268" s="15" t="s">
        <v>51</v>
      </c>
      <c r="B268" s="16" t="s">
        <v>2</v>
      </c>
      <c r="C268" s="2">
        <v>2352</v>
      </c>
      <c r="D268" s="2">
        <f>TPData[[#This Row],[Annual Contract Value (ACV)]]/12</f>
        <v>196</v>
      </c>
      <c r="E268" s="1">
        <v>43282</v>
      </c>
      <c r="F268" s="1">
        <f>EDATE(TPData[[#This Row],[Close Month]],11)</f>
        <v>43617</v>
      </c>
      <c r="G268" s="13" t="s">
        <v>516</v>
      </c>
      <c r="H268" s="4" t="str">
        <f t="shared" si="5"/>
        <v>Small (&lt;5k)</v>
      </c>
    </row>
    <row r="269" spans="1:9" x14ac:dyDescent="0.2">
      <c r="A269" s="15" t="s">
        <v>52</v>
      </c>
      <c r="B269" s="16" t="s">
        <v>2</v>
      </c>
      <c r="C269" s="2">
        <v>2820</v>
      </c>
      <c r="D269" s="2">
        <f>TPData[[#This Row],[Annual Contract Value (ACV)]]/12</f>
        <v>235</v>
      </c>
      <c r="E269" s="1">
        <v>43282</v>
      </c>
      <c r="F269" s="1">
        <f>EDATE(TPData[[#This Row],[Close Month]],11)</f>
        <v>43617</v>
      </c>
      <c r="G269" s="13" t="s">
        <v>516</v>
      </c>
      <c r="H269" s="4" t="str">
        <f t="shared" si="5"/>
        <v>Small (&lt;5k)</v>
      </c>
    </row>
    <row r="270" spans="1:9" x14ac:dyDescent="0.2">
      <c r="A270" s="15" t="s">
        <v>53</v>
      </c>
      <c r="B270" s="16" t="s">
        <v>2</v>
      </c>
      <c r="C270" s="2">
        <v>15000</v>
      </c>
      <c r="D270" s="2">
        <f>TPData[[#This Row],[Annual Contract Value (ACV)]]/12</f>
        <v>1250</v>
      </c>
      <c r="E270" s="1">
        <v>43282</v>
      </c>
      <c r="F270" s="1">
        <f>EDATE(TPData[[#This Row],[Close Month]],11)</f>
        <v>43617</v>
      </c>
      <c r="G270" s="13" t="s">
        <v>516</v>
      </c>
      <c r="H270" s="4" t="str">
        <f t="shared" si="5"/>
        <v>Large (&lt;20k)</v>
      </c>
    </row>
    <row r="271" spans="1:9" x14ac:dyDescent="0.2">
      <c r="A271" s="15" t="s">
        <v>54</v>
      </c>
      <c r="B271" s="16" t="s">
        <v>2</v>
      </c>
      <c r="C271" s="2">
        <v>12500</v>
      </c>
      <c r="D271" s="2">
        <f>TPData[[#This Row],[Annual Contract Value (ACV)]]/12</f>
        <v>1041.6666666666667</v>
      </c>
      <c r="E271" s="1">
        <v>43282</v>
      </c>
      <c r="F271" s="1">
        <f>EDATE(TPData[[#This Row],[Close Month]],11)</f>
        <v>43617</v>
      </c>
      <c r="G271" s="13" t="s">
        <v>516</v>
      </c>
      <c r="H271" s="4" t="str">
        <f t="shared" si="5"/>
        <v>Large (&lt;20k)</v>
      </c>
    </row>
    <row r="272" spans="1:9" x14ac:dyDescent="0.2">
      <c r="A272" s="15" t="s">
        <v>55</v>
      </c>
      <c r="B272" s="16" t="s">
        <v>2</v>
      </c>
      <c r="C272" s="2">
        <v>4888.8</v>
      </c>
      <c r="D272" s="2">
        <f>TPData[[#This Row],[Annual Contract Value (ACV)]]/12</f>
        <v>407.40000000000003</v>
      </c>
      <c r="E272" s="1">
        <v>43282</v>
      </c>
      <c r="F272" s="1">
        <f>EDATE(TPData[[#This Row],[Close Month]],11)</f>
        <v>43617</v>
      </c>
      <c r="G272" s="13" t="s">
        <v>516</v>
      </c>
      <c r="H272" s="4" t="str">
        <f t="shared" si="5"/>
        <v>Small (&lt;5k)</v>
      </c>
    </row>
    <row r="273" spans="1:9" x14ac:dyDescent="0.2">
      <c r="A273" s="15" t="s">
        <v>56</v>
      </c>
      <c r="B273" s="16" t="s">
        <v>2</v>
      </c>
      <c r="C273" s="2">
        <v>1890</v>
      </c>
      <c r="D273" s="2">
        <f>TPData[[#This Row],[Annual Contract Value (ACV)]]/12</f>
        <v>157.5</v>
      </c>
      <c r="E273" s="1">
        <v>43313</v>
      </c>
      <c r="F273" s="1">
        <f>EDATE(TPData[[#This Row],[Close Month]],11)</f>
        <v>43647</v>
      </c>
      <c r="G273" s="13" t="s">
        <v>516</v>
      </c>
      <c r="H273" s="4" t="str">
        <f t="shared" si="5"/>
        <v>Small (&lt;5k)</v>
      </c>
    </row>
    <row r="274" spans="1:9" x14ac:dyDescent="0.2">
      <c r="A274" s="15" t="s">
        <v>57</v>
      </c>
      <c r="B274" s="16" t="s">
        <v>2</v>
      </c>
      <c r="C274" s="2">
        <v>3000</v>
      </c>
      <c r="D274" s="2">
        <f>TPData[[#This Row],[Annual Contract Value (ACV)]]/12</f>
        <v>250</v>
      </c>
      <c r="E274" s="1">
        <v>43313</v>
      </c>
      <c r="F274" s="1">
        <f>EDATE(TPData[[#This Row],[Close Month]],11)</f>
        <v>43647</v>
      </c>
      <c r="G274" s="13" t="s">
        <v>516</v>
      </c>
      <c r="H274" s="4" t="str">
        <f t="shared" si="5"/>
        <v>Small (&lt;5k)</v>
      </c>
    </row>
    <row r="275" spans="1:9" x14ac:dyDescent="0.2">
      <c r="A275" s="15" t="s">
        <v>58</v>
      </c>
      <c r="B275" s="16" t="s">
        <v>2</v>
      </c>
      <c r="C275" s="2">
        <v>2144.2800000000002</v>
      </c>
      <c r="D275" s="2">
        <f>TPData[[#This Row],[Annual Contract Value (ACV)]]/12</f>
        <v>178.69000000000003</v>
      </c>
      <c r="E275" s="1">
        <v>43313</v>
      </c>
      <c r="F275" s="1">
        <f>EDATE(TPData[[#This Row],[Close Month]],11)</f>
        <v>43647</v>
      </c>
      <c r="G275" s="13" t="s">
        <v>516</v>
      </c>
      <c r="H275" s="4" t="str">
        <f t="shared" si="5"/>
        <v>Small (&lt;5k)</v>
      </c>
    </row>
    <row r="276" spans="1:9" x14ac:dyDescent="0.2">
      <c r="A276" s="15" t="s">
        <v>59</v>
      </c>
      <c r="B276" s="16" t="s">
        <v>2</v>
      </c>
      <c r="C276" s="2">
        <v>2304</v>
      </c>
      <c r="D276" s="2">
        <f>TPData[[#This Row],[Annual Contract Value (ACV)]]/12</f>
        <v>192</v>
      </c>
      <c r="E276" s="1">
        <v>43313</v>
      </c>
      <c r="F276" s="1">
        <f>EDATE(TPData[[#This Row],[Close Month]],11)</f>
        <v>43647</v>
      </c>
      <c r="G276" s="13" t="s">
        <v>516</v>
      </c>
      <c r="H276" s="4" t="str">
        <f t="shared" si="5"/>
        <v>Small (&lt;5k)</v>
      </c>
    </row>
    <row r="277" spans="1:9" x14ac:dyDescent="0.2">
      <c r="A277" s="15" t="s">
        <v>60</v>
      </c>
      <c r="B277" s="16" t="s">
        <v>2</v>
      </c>
      <c r="C277" s="2">
        <v>3270.0000000000005</v>
      </c>
      <c r="D277" s="2">
        <f>TPData[[#This Row],[Annual Contract Value (ACV)]]/12</f>
        <v>272.50000000000006</v>
      </c>
      <c r="E277" s="1">
        <v>43313</v>
      </c>
      <c r="F277" s="1">
        <f>EDATE(TPData[[#This Row],[Close Month]],11)</f>
        <v>43647</v>
      </c>
      <c r="G277" s="13" t="s">
        <v>516</v>
      </c>
      <c r="H277" s="4" t="str">
        <f t="shared" si="5"/>
        <v>Small (&lt;5k)</v>
      </c>
    </row>
    <row r="278" spans="1:9" x14ac:dyDescent="0.2">
      <c r="A278" s="15" t="s">
        <v>61</v>
      </c>
      <c r="B278" s="16" t="s">
        <v>2</v>
      </c>
      <c r="C278" s="2">
        <v>2208</v>
      </c>
      <c r="D278" s="2">
        <f>TPData[[#This Row],[Annual Contract Value (ACV)]]/12</f>
        <v>184</v>
      </c>
      <c r="E278" s="1">
        <v>43313</v>
      </c>
      <c r="F278" s="1">
        <f>EDATE(TPData[[#This Row],[Close Month]],11)</f>
        <v>43647</v>
      </c>
      <c r="G278" s="13" t="s">
        <v>516</v>
      </c>
      <c r="H278" s="4" t="str">
        <f t="shared" si="5"/>
        <v>Small (&lt;5k)</v>
      </c>
    </row>
    <row r="279" spans="1:9" x14ac:dyDescent="0.2">
      <c r="A279" s="15" t="s">
        <v>62</v>
      </c>
      <c r="B279" s="16" t="s">
        <v>2</v>
      </c>
      <c r="C279" s="2">
        <v>12408</v>
      </c>
      <c r="D279" s="2">
        <f>TPData[[#This Row],[Annual Contract Value (ACV)]]/12</f>
        <v>1034</v>
      </c>
      <c r="E279" s="1">
        <v>43313</v>
      </c>
      <c r="F279" s="1">
        <f>EDATE(TPData[[#This Row],[Close Month]],11)</f>
        <v>43647</v>
      </c>
      <c r="G279" s="13" t="s">
        <v>516</v>
      </c>
      <c r="H279" s="4" t="str">
        <f t="shared" si="5"/>
        <v>Large (&lt;20k)</v>
      </c>
    </row>
    <row r="280" spans="1:9" x14ac:dyDescent="0.2">
      <c r="A280" s="15" t="s">
        <v>63</v>
      </c>
      <c r="B280" s="16" t="s">
        <v>2</v>
      </c>
      <c r="C280" s="2">
        <v>5670</v>
      </c>
      <c r="D280" s="2">
        <f>TPData[[#This Row],[Annual Contract Value (ACV)]]/12</f>
        <v>472.5</v>
      </c>
      <c r="E280" s="1">
        <v>43344</v>
      </c>
      <c r="F280" s="1">
        <f>EDATE(TPData[[#This Row],[Close Month]],11)</f>
        <v>43678</v>
      </c>
      <c r="G280" s="13" t="s">
        <v>516</v>
      </c>
      <c r="H280" s="4" t="str">
        <f t="shared" si="5"/>
        <v>Medium (&lt;10k)</v>
      </c>
    </row>
    <row r="281" spans="1:9" x14ac:dyDescent="0.2">
      <c r="A281" s="15" t="s">
        <v>64</v>
      </c>
      <c r="B281" s="16" t="s">
        <v>2</v>
      </c>
      <c r="C281" s="2">
        <v>5356.7999999999993</v>
      </c>
      <c r="D281" s="2">
        <f>TPData[[#This Row],[Annual Contract Value (ACV)]]/12</f>
        <v>446.39999999999992</v>
      </c>
      <c r="E281" s="1">
        <v>43344</v>
      </c>
      <c r="F281" s="1">
        <f>EDATE(TPData[[#This Row],[Close Month]],11)</f>
        <v>43678</v>
      </c>
      <c r="G281" s="13" t="s">
        <v>516</v>
      </c>
      <c r="H281" s="4" t="str">
        <f t="shared" si="5"/>
        <v>Medium (&lt;10k)</v>
      </c>
    </row>
    <row r="282" spans="1:9" x14ac:dyDescent="0.2">
      <c r="A282" s="15" t="s">
        <v>65</v>
      </c>
      <c r="B282" s="16" t="s">
        <v>2</v>
      </c>
      <c r="C282" s="2">
        <v>3090</v>
      </c>
      <c r="D282" s="2">
        <f>TPData[[#This Row],[Annual Contract Value (ACV)]]/12</f>
        <v>257.5</v>
      </c>
      <c r="E282" s="1">
        <v>43344</v>
      </c>
      <c r="F282" s="1">
        <f>EDATE(TPData[[#This Row],[Close Month]],11)</f>
        <v>43678</v>
      </c>
      <c r="G282" s="13" t="s">
        <v>516</v>
      </c>
      <c r="H282" s="4" t="str">
        <f t="shared" si="5"/>
        <v>Small (&lt;5k)</v>
      </c>
    </row>
    <row r="283" spans="1:9" x14ac:dyDescent="0.2">
      <c r="A283" s="15" t="s">
        <v>66</v>
      </c>
      <c r="B283" s="16" t="s">
        <v>2</v>
      </c>
      <c r="C283" s="2">
        <v>2820</v>
      </c>
      <c r="D283" s="2">
        <f>TPData[[#This Row],[Annual Contract Value (ACV)]]/12</f>
        <v>235</v>
      </c>
      <c r="E283" s="1">
        <v>43344</v>
      </c>
      <c r="F283" s="1">
        <f>EDATE(TPData[[#This Row],[Close Month]],11)</f>
        <v>43678</v>
      </c>
      <c r="G283" s="13" t="s">
        <v>516</v>
      </c>
      <c r="H283" s="4" t="str">
        <f t="shared" si="5"/>
        <v>Small (&lt;5k)</v>
      </c>
    </row>
    <row r="284" spans="1:9" x14ac:dyDescent="0.2">
      <c r="A284" s="15" t="s">
        <v>67</v>
      </c>
      <c r="B284" s="16" t="s">
        <v>2</v>
      </c>
      <c r="C284" s="2">
        <v>7776.0000000000009</v>
      </c>
      <c r="D284" s="2">
        <f>TPData[[#This Row],[Annual Contract Value (ACV)]]/12</f>
        <v>648.00000000000011</v>
      </c>
      <c r="E284" s="1">
        <v>43374</v>
      </c>
      <c r="F284" s="1">
        <f>EDATE(TPData[[#This Row],[Close Month]],11)</f>
        <v>43709</v>
      </c>
      <c r="G284" s="13" t="s">
        <v>516</v>
      </c>
      <c r="H284" s="4" t="str">
        <f t="shared" si="5"/>
        <v>Medium (&lt;10k)</v>
      </c>
      <c r="I284" s="5"/>
    </row>
    <row r="285" spans="1:9" x14ac:dyDescent="0.2">
      <c r="A285" s="15" t="s">
        <v>68</v>
      </c>
      <c r="B285" s="16" t="s">
        <v>2</v>
      </c>
      <c r="C285" s="2">
        <v>3348</v>
      </c>
      <c r="D285" s="2">
        <f>TPData[[#This Row],[Annual Contract Value (ACV)]]/12</f>
        <v>279</v>
      </c>
      <c r="E285" s="1">
        <v>43374</v>
      </c>
      <c r="F285" s="1">
        <f>EDATE(TPData[[#This Row],[Close Month]],11)</f>
        <v>43709</v>
      </c>
      <c r="G285" s="13" t="s">
        <v>516</v>
      </c>
      <c r="H285" s="4" t="str">
        <f t="shared" si="5"/>
        <v>Small (&lt;5k)</v>
      </c>
      <c r="I285" s="5"/>
    </row>
    <row r="286" spans="1:9" x14ac:dyDescent="0.2">
      <c r="A286" s="15" t="s">
        <v>69</v>
      </c>
      <c r="B286" s="16" t="s">
        <v>2</v>
      </c>
      <c r="C286" s="2">
        <v>3060</v>
      </c>
      <c r="D286" s="2">
        <f>TPData[[#This Row],[Annual Contract Value (ACV)]]/12</f>
        <v>255</v>
      </c>
      <c r="E286" s="1">
        <v>43374</v>
      </c>
      <c r="F286" s="1">
        <f>EDATE(TPData[[#This Row],[Close Month]],11)</f>
        <v>43709</v>
      </c>
      <c r="G286" s="13" t="s">
        <v>516</v>
      </c>
      <c r="H286" s="4" t="str">
        <f t="shared" si="5"/>
        <v>Small (&lt;5k)</v>
      </c>
      <c r="I286" s="5"/>
    </row>
    <row r="287" spans="1:9" x14ac:dyDescent="0.2">
      <c r="A287" s="15" t="s">
        <v>70</v>
      </c>
      <c r="B287" s="16" t="s">
        <v>2</v>
      </c>
      <c r="C287" s="2">
        <v>3240</v>
      </c>
      <c r="D287" s="2">
        <f>TPData[[#This Row],[Annual Contract Value (ACV)]]/12</f>
        <v>270</v>
      </c>
      <c r="E287" s="1">
        <v>43374</v>
      </c>
      <c r="F287" s="1">
        <f>EDATE(TPData[[#This Row],[Close Month]],11)</f>
        <v>43709</v>
      </c>
      <c r="G287" s="13" t="s">
        <v>516</v>
      </c>
      <c r="H287" s="4" t="str">
        <f t="shared" si="5"/>
        <v>Small (&lt;5k)</v>
      </c>
      <c r="I287" s="5"/>
    </row>
    <row r="288" spans="1:9" x14ac:dyDescent="0.2">
      <c r="A288" s="15" t="s">
        <v>71</v>
      </c>
      <c r="B288" s="16" t="s">
        <v>2</v>
      </c>
      <c r="C288" s="2">
        <v>17820</v>
      </c>
      <c r="D288" s="2">
        <f>TPData[[#This Row],[Annual Contract Value (ACV)]]/12</f>
        <v>1485</v>
      </c>
      <c r="E288" s="1">
        <v>43405</v>
      </c>
      <c r="F288" s="1">
        <f>EDATE(TPData[[#This Row],[Close Month]],11)</f>
        <v>43739</v>
      </c>
      <c r="G288" s="13" t="s">
        <v>516</v>
      </c>
      <c r="H288" s="4" t="str">
        <f t="shared" si="5"/>
        <v>Large (&lt;20k)</v>
      </c>
      <c r="I288" s="5"/>
    </row>
    <row r="289" spans="1:9" x14ac:dyDescent="0.2">
      <c r="A289" s="15" t="s">
        <v>72</v>
      </c>
      <c r="B289" s="16" t="s">
        <v>2</v>
      </c>
      <c r="C289" s="2">
        <v>6240</v>
      </c>
      <c r="D289" s="2">
        <f>TPData[[#This Row],[Annual Contract Value (ACV)]]/12</f>
        <v>520</v>
      </c>
      <c r="E289" s="1">
        <v>43405</v>
      </c>
      <c r="F289" s="1">
        <f>EDATE(TPData[[#This Row],[Close Month]],11)</f>
        <v>43739</v>
      </c>
      <c r="G289" s="13" t="s">
        <v>516</v>
      </c>
      <c r="H289" s="4" t="str">
        <f t="shared" si="5"/>
        <v>Medium (&lt;10k)</v>
      </c>
      <c r="I289" s="5"/>
    </row>
    <row r="290" spans="1:9" x14ac:dyDescent="0.2">
      <c r="A290" s="15" t="s">
        <v>73</v>
      </c>
      <c r="B290" s="16" t="s">
        <v>2</v>
      </c>
      <c r="C290" s="2">
        <v>1260</v>
      </c>
      <c r="D290" s="2">
        <f>TPData[[#This Row],[Annual Contract Value (ACV)]]/12</f>
        <v>105</v>
      </c>
      <c r="E290" s="1">
        <v>43405</v>
      </c>
      <c r="F290" s="1">
        <f>EDATE(TPData[[#This Row],[Close Month]],11)</f>
        <v>43739</v>
      </c>
      <c r="G290" s="13" t="s">
        <v>516</v>
      </c>
      <c r="H290" s="4" t="str">
        <f t="shared" si="5"/>
        <v>Small (&lt;5k)</v>
      </c>
      <c r="I290" s="5"/>
    </row>
    <row r="291" spans="1:9" x14ac:dyDescent="0.2">
      <c r="A291" s="15" t="s">
        <v>74</v>
      </c>
      <c r="B291" s="16" t="s">
        <v>2</v>
      </c>
      <c r="C291" s="2">
        <v>1104</v>
      </c>
      <c r="D291" s="2">
        <f>TPData[[#This Row],[Annual Contract Value (ACV)]]/12</f>
        <v>92</v>
      </c>
      <c r="E291" s="1">
        <v>43405</v>
      </c>
      <c r="F291" s="1">
        <f>EDATE(TPData[[#This Row],[Close Month]],11)</f>
        <v>43739</v>
      </c>
      <c r="G291" s="13" t="s">
        <v>516</v>
      </c>
      <c r="H291" s="4" t="str">
        <f t="shared" si="5"/>
        <v>Small (&lt;5k)</v>
      </c>
      <c r="I291" s="5"/>
    </row>
    <row r="292" spans="1:9" x14ac:dyDescent="0.2">
      <c r="A292" s="15" t="s">
        <v>75</v>
      </c>
      <c r="B292" s="16" t="s">
        <v>2</v>
      </c>
      <c r="C292" s="2">
        <v>720</v>
      </c>
      <c r="D292" s="2">
        <f>TPData[[#This Row],[Annual Contract Value (ACV)]]/12</f>
        <v>60</v>
      </c>
      <c r="E292" s="1">
        <v>43405</v>
      </c>
      <c r="F292" s="1">
        <f>EDATE(TPData[[#This Row],[Close Month]],11)</f>
        <v>43739</v>
      </c>
      <c r="G292" s="13" t="s">
        <v>516</v>
      </c>
      <c r="H292" s="4" t="str">
        <f t="shared" si="5"/>
        <v>Small (&lt;5k)</v>
      </c>
      <c r="I292" s="5"/>
    </row>
    <row r="293" spans="1:9" x14ac:dyDescent="0.2">
      <c r="A293" s="15" t="s">
        <v>76</v>
      </c>
      <c r="B293" s="16" t="s">
        <v>2</v>
      </c>
      <c r="C293" s="2">
        <v>10164</v>
      </c>
      <c r="D293" s="2">
        <f>TPData[[#This Row],[Annual Contract Value (ACV)]]/12</f>
        <v>847</v>
      </c>
      <c r="E293" s="1">
        <v>43435</v>
      </c>
      <c r="F293" s="1">
        <f>EDATE(TPData[[#This Row],[Close Month]],11)</f>
        <v>43770</v>
      </c>
      <c r="G293" s="13" t="s">
        <v>516</v>
      </c>
      <c r="H293" s="4" t="str">
        <f t="shared" si="5"/>
        <v>Large (&lt;20k)</v>
      </c>
      <c r="I293" s="5"/>
    </row>
    <row r="294" spans="1:9" x14ac:dyDescent="0.2">
      <c r="A294" s="15" t="s">
        <v>77</v>
      </c>
      <c r="B294" s="16" t="s">
        <v>2</v>
      </c>
      <c r="C294" s="2">
        <v>2700</v>
      </c>
      <c r="D294" s="2">
        <f>TPData[[#This Row],[Annual Contract Value (ACV)]]/12</f>
        <v>225</v>
      </c>
      <c r="E294" s="1">
        <v>43435</v>
      </c>
      <c r="F294" s="1">
        <f>EDATE(TPData[[#This Row],[Close Month]],11)</f>
        <v>43770</v>
      </c>
      <c r="G294" s="13" t="s">
        <v>516</v>
      </c>
      <c r="H294" s="4" t="str">
        <f t="shared" si="5"/>
        <v>Small (&lt;5k)</v>
      </c>
      <c r="I294" s="5"/>
    </row>
    <row r="295" spans="1:9" x14ac:dyDescent="0.2">
      <c r="A295" s="15" t="s">
        <v>78</v>
      </c>
      <c r="B295" s="16" t="s">
        <v>2</v>
      </c>
      <c r="C295" s="2">
        <v>5820</v>
      </c>
      <c r="D295" s="2">
        <f>TPData[[#This Row],[Annual Contract Value (ACV)]]/12</f>
        <v>485</v>
      </c>
      <c r="E295" s="1">
        <v>43435</v>
      </c>
      <c r="F295" s="1">
        <f>EDATE(TPData[[#This Row],[Close Month]],11)</f>
        <v>43770</v>
      </c>
      <c r="G295" s="13" t="s">
        <v>516</v>
      </c>
      <c r="H295" s="4" t="str">
        <f t="shared" si="5"/>
        <v>Medium (&lt;10k)</v>
      </c>
      <c r="I295" s="5"/>
    </row>
    <row r="296" spans="1:9" x14ac:dyDescent="0.2">
      <c r="A296" s="15" t="s">
        <v>79</v>
      </c>
      <c r="B296" s="16" t="s">
        <v>2</v>
      </c>
      <c r="C296" s="2">
        <v>6984</v>
      </c>
      <c r="D296" s="2">
        <f>TPData[[#This Row],[Annual Contract Value (ACV)]]/12</f>
        <v>582</v>
      </c>
      <c r="E296" s="1">
        <v>43435</v>
      </c>
      <c r="F296" s="1">
        <f>EDATE(TPData[[#This Row],[Close Month]],11)</f>
        <v>43770</v>
      </c>
      <c r="G296" s="13" t="s">
        <v>516</v>
      </c>
      <c r="H296" s="4" t="str">
        <f t="shared" si="5"/>
        <v>Medium (&lt;10k)</v>
      </c>
      <c r="I296" s="5"/>
    </row>
    <row r="297" spans="1:9" x14ac:dyDescent="0.2">
      <c r="A297" s="15" t="s">
        <v>80</v>
      </c>
      <c r="B297" s="16" t="s">
        <v>2</v>
      </c>
      <c r="C297" s="2">
        <v>12739.960799999999</v>
      </c>
      <c r="D297" s="2">
        <f>TPData[[#This Row],[Annual Contract Value (ACV)]]/12</f>
        <v>1061.6633999999999</v>
      </c>
      <c r="E297" s="1">
        <v>43435</v>
      </c>
      <c r="F297" s="1">
        <f>EDATE(TPData[[#This Row],[Close Month]],11)</f>
        <v>43770</v>
      </c>
      <c r="G297" s="13" t="s">
        <v>516</v>
      </c>
      <c r="H297" s="4" t="str">
        <f t="shared" si="5"/>
        <v>Large (&lt;20k)</v>
      </c>
      <c r="I297" s="5"/>
    </row>
    <row r="298" spans="1:9" x14ac:dyDescent="0.2">
      <c r="A298" s="15" t="s">
        <v>81</v>
      </c>
      <c r="B298" s="16" t="s">
        <v>2</v>
      </c>
      <c r="C298" s="2">
        <v>6552</v>
      </c>
      <c r="D298" s="2">
        <f>TPData[[#This Row],[Annual Contract Value (ACV)]]/12</f>
        <v>546</v>
      </c>
      <c r="E298" s="1">
        <v>43435</v>
      </c>
      <c r="F298" s="1">
        <f>EDATE(TPData[[#This Row],[Close Month]],11)</f>
        <v>43770</v>
      </c>
      <c r="G298" s="13" t="s">
        <v>516</v>
      </c>
      <c r="H298" s="4" t="str">
        <f t="shared" si="5"/>
        <v>Medium (&lt;10k)</v>
      </c>
      <c r="I298" s="5"/>
    </row>
    <row r="299" spans="1:9" x14ac:dyDescent="0.2">
      <c r="A299" s="15" t="s">
        <v>82</v>
      </c>
      <c r="B299" s="16" t="s">
        <v>2</v>
      </c>
      <c r="C299" s="2">
        <v>37800</v>
      </c>
      <c r="D299" s="2">
        <f>TPData[[#This Row],[Annual Contract Value (ACV)]]/12</f>
        <v>3150</v>
      </c>
      <c r="E299" s="1">
        <v>43435</v>
      </c>
      <c r="F299" s="1">
        <f>EDATE(TPData[[#This Row],[Close Month]],11)</f>
        <v>43770</v>
      </c>
      <c r="G299" s="13" t="s">
        <v>516</v>
      </c>
      <c r="H299" s="4" t="str">
        <f t="shared" si="5"/>
        <v>Mega (20k+)</v>
      </c>
      <c r="I299" s="5"/>
    </row>
    <row r="300" spans="1:9" x14ac:dyDescent="0.2">
      <c r="A300" s="15" t="s">
        <v>83</v>
      </c>
      <c r="B300" s="16" t="s">
        <v>2</v>
      </c>
      <c r="C300" s="2">
        <v>1365</v>
      </c>
      <c r="D300" s="2">
        <f>TPData[[#This Row],[Annual Contract Value (ACV)]]/12</f>
        <v>113.75</v>
      </c>
      <c r="E300" s="1">
        <v>43435</v>
      </c>
      <c r="F300" s="1">
        <f>EDATE(TPData[[#This Row],[Close Month]],11)</f>
        <v>43770</v>
      </c>
      <c r="G300" s="13" t="s">
        <v>516</v>
      </c>
      <c r="H300" s="4" t="str">
        <f t="shared" si="5"/>
        <v>Small (&lt;5k)</v>
      </c>
      <c r="I300" s="5"/>
    </row>
    <row r="301" spans="1:9" x14ac:dyDescent="0.2">
      <c r="A301" s="15" t="s">
        <v>84</v>
      </c>
      <c r="B301" s="16" t="s">
        <v>2</v>
      </c>
      <c r="C301" s="2">
        <v>8100</v>
      </c>
      <c r="D301" s="2">
        <f>TPData[[#This Row],[Annual Contract Value (ACV)]]/12</f>
        <v>675</v>
      </c>
      <c r="E301" s="1">
        <v>43435</v>
      </c>
      <c r="F301" s="1">
        <f>EDATE(TPData[[#This Row],[Close Month]],11)</f>
        <v>43770</v>
      </c>
      <c r="G301" s="13" t="s">
        <v>516</v>
      </c>
      <c r="H301" s="4" t="str">
        <f t="shared" si="5"/>
        <v>Medium (&lt;10k)</v>
      </c>
      <c r="I301" s="5"/>
    </row>
    <row r="302" spans="1:9" x14ac:dyDescent="0.2">
      <c r="A302" s="15" t="s">
        <v>85</v>
      </c>
      <c r="B302" s="16" t="s">
        <v>2</v>
      </c>
      <c r="C302" s="2">
        <v>4416</v>
      </c>
      <c r="D302" s="2">
        <f>TPData[[#This Row],[Annual Contract Value (ACV)]]/12</f>
        <v>368</v>
      </c>
      <c r="E302" s="1">
        <v>43466</v>
      </c>
      <c r="F302" s="1">
        <f>EDATE(TPData[[#This Row],[Close Month]],11)</f>
        <v>43800</v>
      </c>
      <c r="G302" s="13" t="s">
        <v>516</v>
      </c>
      <c r="H302" s="4" t="str">
        <f t="shared" si="5"/>
        <v>Small (&lt;5k)</v>
      </c>
    </row>
    <row r="303" spans="1:9" x14ac:dyDescent="0.2">
      <c r="A303" s="15" t="s">
        <v>86</v>
      </c>
      <c r="B303" s="16" t="s">
        <v>2</v>
      </c>
      <c r="C303" s="2">
        <v>3840.0767999999998</v>
      </c>
      <c r="D303" s="2">
        <f>TPData[[#This Row],[Annual Contract Value (ACV)]]/12</f>
        <v>320.00639999999999</v>
      </c>
      <c r="E303" s="1">
        <v>43466</v>
      </c>
      <c r="F303" s="1">
        <f>EDATE(TPData[[#This Row],[Close Month]],11)</f>
        <v>43800</v>
      </c>
      <c r="G303" s="13" t="s">
        <v>516</v>
      </c>
      <c r="H303" s="4" t="str">
        <f t="shared" si="5"/>
        <v>Small (&lt;5k)</v>
      </c>
    </row>
    <row r="304" spans="1:9" x14ac:dyDescent="0.2">
      <c r="A304" s="15" t="s">
        <v>87</v>
      </c>
      <c r="B304" s="16" t="s">
        <v>2</v>
      </c>
      <c r="C304" s="2">
        <v>1560</v>
      </c>
      <c r="D304" s="2">
        <f>TPData[[#This Row],[Annual Contract Value (ACV)]]/12</f>
        <v>130</v>
      </c>
      <c r="E304" s="1">
        <v>43497</v>
      </c>
      <c r="F304" s="1">
        <f>EDATE(TPData[[#This Row],[Close Month]],11)</f>
        <v>43831</v>
      </c>
      <c r="G304" s="13" t="s">
        <v>516</v>
      </c>
      <c r="H304" s="4" t="str">
        <f t="shared" si="5"/>
        <v>Small (&lt;5k)</v>
      </c>
      <c r="I304" s="4"/>
    </row>
    <row r="305" spans="1:9" x14ac:dyDescent="0.2">
      <c r="A305" s="15" t="s">
        <v>88</v>
      </c>
      <c r="B305" s="16" t="s">
        <v>2</v>
      </c>
      <c r="C305" s="2">
        <v>8064</v>
      </c>
      <c r="D305" s="2">
        <f>TPData[[#This Row],[Annual Contract Value (ACV)]]/12</f>
        <v>672</v>
      </c>
      <c r="E305" s="1">
        <v>43525</v>
      </c>
      <c r="F305" s="1">
        <f>EDATE(TPData[[#This Row],[Close Month]],11)</f>
        <v>43862</v>
      </c>
      <c r="G305" s="13" t="s">
        <v>516</v>
      </c>
      <c r="H305" s="4" t="str">
        <f t="shared" si="5"/>
        <v>Medium (&lt;10k)</v>
      </c>
    </row>
    <row r="306" spans="1:9" x14ac:dyDescent="0.2">
      <c r="A306" s="15" t="s">
        <v>89</v>
      </c>
      <c r="B306" s="16" t="s">
        <v>2</v>
      </c>
      <c r="C306" s="2">
        <v>2730</v>
      </c>
      <c r="D306" s="2">
        <f>TPData[[#This Row],[Annual Contract Value (ACV)]]/12</f>
        <v>227.5</v>
      </c>
      <c r="E306" s="1">
        <v>43525</v>
      </c>
      <c r="F306" s="1">
        <f>EDATE(TPData[[#This Row],[Close Month]],11)</f>
        <v>43862</v>
      </c>
      <c r="G306" s="13" t="s">
        <v>516</v>
      </c>
      <c r="H306" s="4" t="str">
        <f t="shared" si="5"/>
        <v>Small (&lt;5k)</v>
      </c>
    </row>
    <row r="307" spans="1:9" x14ac:dyDescent="0.2">
      <c r="A307" s="15" t="s">
        <v>90</v>
      </c>
      <c r="B307" s="16" t="s">
        <v>2</v>
      </c>
      <c r="C307" s="2">
        <v>12720</v>
      </c>
      <c r="D307" s="2">
        <f>TPData[[#This Row],[Annual Contract Value (ACV)]]/12</f>
        <v>1060</v>
      </c>
      <c r="E307" s="1">
        <v>43556</v>
      </c>
      <c r="F307" s="1">
        <f>EDATE(TPData[[#This Row],[Close Month]],11)</f>
        <v>43891</v>
      </c>
      <c r="G307" s="13" t="s">
        <v>516</v>
      </c>
      <c r="H307" s="4" t="str">
        <f t="shared" si="5"/>
        <v>Large (&lt;20k)</v>
      </c>
    </row>
    <row r="308" spans="1:9" x14ac:dyDescent="0.2">
      <c r="A308" s="15" t="s">
        <v>91</v>
      </c>
      <c r="B308" s="16" t="s">
        <v>2</v>
      </c>
      <c r="C308" s="2">
        <v>7123.2000000000007</v>
      </c>
      <c r="D308" s="2">
        <f>TPData[[#This Row],[Annual Contract Value (ACV)]]/12</f>
        <v>593.6</v>
      </c>
      <c r="E308" s="1">
        <v>43556</v>
      </c>
      <c r="F308" s="1">
        <f>EDATE(TPData[[#This Row],[Close Month]],11)</f>
        <v>43891</v>
      </c>
      <c r="G308" s="13" t="s">
        <v>516</v>
      </c>
      <c r="H308" s="4" t="str">
        <f t="shared" si="5"/>
        <v>Medium (&lt;10k)</v>
      </c>
    </row>
    <row r="309" spans="1:9" x14ac:dyDescent="0.2">
      <c r="A309" s="15" t="s">
        <v>92</v>
      </c>
      <c r="B309" s="16" t="s">
        <v>2</v>
      </c>
      <c r="C309" s="2">
        <v>6600.0000000000009</v>
      </c>
      <c r="D309" s="2">
        <f>TPData[[#This Row],[Annual Contract Value (ACV)]]/12</f>
        <v>550.00000000000011</v>
      </c>
      <c r="E309" s="1">
        <v>43556</v>
      </c>
      <c r="F309" s="1">
        <f>EDATE(TPData[[#This Row],[Close Month]],11)</f>
        <v>43891</v>
      </c>
      <c r="G309" s="13" t="s">
        <v>516</v>
      </c>
      <c r="H309" s="4" t="str">
        <f t="shared" si="5"/>
        <v>Medium (&lt;10k)</v>
      </c>
    </row>
    <row r="310" spans="1:9" x14ac:dyDescent="0.2">
      <c r="A310" s="15" t="s">
        <v>93</v>
      </c>
      <c r="B310" s="16" t="s">
        <v>2</v>
      </c>
      <c r="C310" s="2">
        <v>8324.16</v>
      </c>
      <c r="D310" s="2">
        <f>TPData[[#This Row],[Annual Contract Value (ACV)]]/12</f>
        <v>693.68</v>
      </c>
      <c r="E310" s="1">
        <v>43556</v>
      </c>
      <c r="F310" s="1">
        <f>EDATE(TPData[[#This Row],[Close Month]],11)</f>
        <v>43891</v>
      </c>
      <c r="G310" s="13" t="s">
        <v>516</v>
      </c>
      <c r="H310" s="4" t="str">
        <f t="shared" si="5"/>
        <v>Medium (&lt;10k)</v>
      </c>
    </row>
    <row r="311" spans="1:9" x14ac:dyDescent="0.2">
      <c r="A311" s="15" t="s">
        <v>94</v>
      </c>
      <c r="B311" s="16" t="s">
        <v>2</v>
      </c>
      <c r="C311" s="2">
        <v>7557.5999999999995</v>
      </c>
      <c r="D311" s="2">
        <f>TPData[[#This Row],[Annual Contract Value (ACV)]]/12</f>
        <v>629.79999999999995</v>
      </c>
      <c r="E311" s="1">
        <v>43556</v>
      </c>
      <c r="F311" s="1">
        <f>EDATE(TPData[[#This Row],[Close Month]],11)</f>
        <v>43891</v>
      </c>
      <c r="G311" s="13" t="s">
        <v>516</v>
      </c>
      <c r="H311" s="4" t="str">
        <f t="shared" si="5"/>
        <v>Medium (&lt;10k)</v>
      </c>
    </row>
    <row r="312" spans="1:9" x14ac:dyDescent="0.2">
      <c r="A312" s="15" t="s">
        <v>95</v>
      </c>
      <c r="B312" s="16" t="s">
        <v>2</v>
      </c>
      <c r="C312" s="2">
        <v>2670.7200000000003</v>
      </c>
      <c r="D312" s="2">
        <f>TPData[[#This Row],[Annual Contract Value (ACV)]]/12</f>
        <v>222.56000000000003</v>
      </c>
      <c r="E312" s="1">
        <v>43556</v>
      </c>
      <c r="F312" s="1">
        <f>EDATE(TPData[[#This Row],[Close Month]],11)</f>
        <v>43891</v>
      </c>
      <c r="G312" s="13" t="s">
        <v>516</v>
      </c>
      <c r="H312" s="4" t="str">
        <f t="shared" si="5"/>
        <v>Small (&lt;5k)</v>
      </c>
    </row>
    <row r="313" spans="1:9" x14ac:dyDescent="0.2">
      <c r="A313" s="15" t="s">
        <v>96</v>
      </c>
      <c r="B313" s="16" t="s">
        <v>2</v>
      </c>
      <c r="C313" s="2">
        <v>8568</v>
      </c>
      <c r="D313" s="2">
        <f>TPData[[#This Row],[Annual Contract Value (ACV)]]/12</f>
        <v>714</v>
      </c>
      <c r="E313" s="1">
        <v>43586</v>
      </c>
      <c r="F313" s="1">
        <f>EDATE(TPData[[#This Row],[Close Month]],11)</f>
        <v>43922</v>
      </c>
      <c r="G313" s="13" t="s">
        <v>516</v>
      </c>
      <c r="H313" s="4" t="str">
        <f t="shared" si="5"/>
        <v>Medium (&lt;10k)</v>
      </c>
      <c r="I313" s="4"/>
    </row>
    <row r="314" spans="1:9" x14ac:dyDescent="0.2">
      <c r="A314" s="15" t="s">
        <v>97</v>
      </c>
      <c r="B314" s="16" t="s">
        <v>2</v>
      </c>
      <c r="C314" s="2">
        <v>9332.4</v>
      </c>
      <c r="D314" s="2">
        <f>TPData[[#This Row],[Annual Contract Value (ACV)]]/12</f>
        <v>777.69999999999993</v>
      </c>
      <c r="E314" s="1">
        <v>43586</v>
      </c>
      <c r="F314" s="1">
        <f>EDATE(TPData[[#This Row],[Close Month]],11)</f>
        <v>43922</v>
      </c>
      <c r="G314" s="13" t="s">
        <v>516</v>
      </c>
      <c r="H314" s="4" t="str">
        <f t="shared" si="5"/>
        <v>Medium (&lt;10k)</v>
      </c>
      <c r="I314" s="4"/>
    </row>
    <row r="315" spans="1:9" x14ac:dyDescent="0.2">
      <c r="A315" s="15" t="s">
        <v>98</v>
      </c>
      <c r="B315" s="16" t="s">
        <v>2</v>
      </c>
      <c r="C315" s="2">
        <v>4896</v>
      </c>
      <c r="D315" s="2">
        <f>TPData[[#This Row],[Annual Contract Value (ACV)]]/12</f>
        <v>408</v>
      </c>
      <c r="E315" s="1">
        <v>43617</v>
      </c>
      <c r="F315" s="1">
        <f>EDATE(TPData[[#This Row],[Close Month]],11)</f>
        <v>43952</v>
      </c>
      <c r="G315" s="13" t="s">
        <v>516</v>
      </c>
      <c r="H315" s="4" t="str">
        <f t="shared" si="5"/>
        <v>Small (&lt;5k)</v>
      </c>
      <c r="I315" s="4"/>
    </row>
    <row r="316" spans="1:9" x14ac:dyDescent="0.2">
      <c r="A316" s="15" t="s">
        <v>99</v>
      </c>
      <c r="B316" s="16" t="s">
        <v>2</v>
      </c>
      <c r="C316" s="2">
        <v>2369.0412000000001</v>
      </c>
      <c r="D316" s="2">
        <f>TPData[[#This Row],[Annual Contract Value (ACV)]]/12</f>
        <v>197.42010000000002</v>
      </c>
      <c r="E316" s="1">
        <v>43617</v>
      </c>
      <c r="F316" s="1">
        <f>EDATE(TPData[[#This Row],[Close Month]],11)</f>
        <v>43952</v>
      </c>
      <c r="G316" s="13" t="s">
        <v>516</v>
      </c>
      <c r="H316" s="4" t="str">
        <f t="shared" si="5"/>
        <v>Small (&lt;5k)</v>
      </c>
      <c r="I316" s="4"/>
    </row>
    <row r="317" spans="1:9" x14ac:dyDescent="0.2">
      <c r="A317" s="15" t="s">
        <v>100</v>
      </c>
      <c r="B317" s="16" t="s">
        <v>2</v>
      </c>
      <c r="C317" s="2">
        <v>24010.800000000003</v>
      </c>
      <c r="D317" s="2">
        <f>TPData[[#This Row],[Annual Contract Value (ACV)]]/12</f>
        <v>2000.9000000000003</v>
      </c>
      <c r="E317" s="1">
        <v>43617</v>
      </c>
      <c r="F317" s="1">
        <f>EDATE(TPData[[#This Row],[Close Month]],11)</f>
        <v>43952</v>
      </c>
      <c r="G317" s="13" t="s">
        <v>516</v>
      </c>
      <c r="H317" s="4" t="str">
        <f t="shared" si="5"/>
        <v>Mega (20k+)</v>
      </c>
      <c r="I317" s="4"/>
    </row>
    <row r="318" spans="1:9" x14ac:dyDescent="0.2">
      <c r="A318" s="15" t="s">
        <v>101</v>
      </c>
      <c r="B318" s="16" t="s">
        <v>2</v>
      </c>
      <c r="C318" s="2">
        <v>9147.6</v>
      </c>
      <c r="D318" s="2">
        <f>TPData[[#This Row],[Annual Contract Value (ACV)]]/12</f>
        <v>762.30000000000007</v>
      </c>
      <c r="E318" s="1">
        <v>43617</v>
      </c>
      <c r="F318" s="1">
        <f>EDATE(TPData[[#This Row],[Close Month]],11)</f>
        <v>43952</v>
      </c>
      <c r="G318" s="13" t="s">
        <v>516</v>
      </c>
      <c r="H318" s="4" t="str">
        <f t="shared" si="5"/>
        <v>Medium (&lt;10k)</v>
      </c>
      <c r="I318" s="4"/>
    </row>
    <row r="319" spans="1:9" x14ac:dyDescent="0.2">
      <c r="A319" s="15" t="s">
        <v>102</v>
      </c>
      <c r="B319" s="16" t="s">
        <v>2</v>
      </c>
      <c r="C319" s="2">
        <v>16650.48</v>
      </c>
      <c r="D319" s="2">
        <f>TPData[[#This Row],[Annual Contract Value (ACV)]]/12</f>
        <v>1387.54</v>
      </c>
      <c r="E319" s="1">
        <v>43617</v>
      </c>
      <c r="F319" s="1">
        <f>EDATE(TPData[[#This Row],[Close Month]],11)</f>
        <v>43952</v>
      </c>
      <c r="G319" s="13" t="s">
        <v>516</v>
      </c>
      <c r="H319" s="4" t="str">
        <f t="shared" si="5"/>
        <v>Large (&lt;20k)</v>
      </c>
      <c r="I319" s="4"/>
    </row>
    <row r="320" spans="1:9" x14ac:dyDescent="0.2">
      <c r="A320" s="15" t="s">
        <v>103</v>
      </c>
      <c r="B320" s="16" t="s">
        <v>2</v>
      </c>
      <c r="C320" s="2">
        <v>3240</v>
      </c>
      <c r="D320" s="2">
        <f>TPData[[#This Row],[Annual Contract Value (ACV)]]/12</f>
        <v>270</v>
      </c>
      <c r="E320" s="1">
        <v>43617</v>
      </c>
      <c r="F320" s="1">
        <f>EDATE(TPData[[#This Row],[Close Month]],11)</f>
        <v>43952</v>
      </c>
      <c r="G320" s="13" t="s">
        <v>516</v>
      </c>
      <c r="H320" s="4" t="str">
        <f t="shared" si="5"/>
        <v>Small (&lt;5k)</v>
      </c>
      <c r="I320" s="4"/>
    </row>
    <row r="321" spans="1:9" x14ac:dyDescent="0.2">
      <c r="A321" s="15" t="s">
        <v>5</v>
      </c>
      <c r="B321" s="16" t="s">
        <v>2</v>
      </c>
      <c r="C321" s="2">
        <v>1943.8799999999999</v>
      </c>
      <c r="D321" s="2">
        <f>TPData[[#This Row],[Annual Contract Value (ACV)]]/12</f>
        <v>161.98999999999998</v>
      </c>
      <c r="E321" s="1">
        <v>43282</v>
      </c>
      <c r="F321" s="1">
        <f>EDATE(TPData[[#This Row],[Close Month]],11)</f>
        <v>43617</v>
      </c>
      <c r="G321" s="13" t="s">
        <v>517</v>
      </c>
      <c r="H321" s="4" t="str">
        <f t="shared" si="5"/>
        <v>Small (&lt;5k)</v>
      </c>
    </row>
    <row r="322" spans="1:9" x14ac:dyDescent="0.2">
      <c r="A322" s="15" t="s">
        <v>6</v>
      </c>
      <c r="B322" s="16" t="s">
        <v>2</v>
      </c>
      <c r="C322" s="2">
        <v>2760</v>
      </c>
      <c r="D322" s="2">
        <f>TPData[[#This Row],[Annual Contract Value (ACV)]]/12</f>
        <v>230</v>
      </c>
      <c r="E322" s="1">
        <v>43282</v>
      </c>
      <c r="F322" s="1">
        <f>EDATE(TPData[[#This Row],[Close Month]],11)</f>
        <v>43617</v>
      </c>
      <c r="G322" s="13" t="s">
        <v>517</v>
      </c>
      <c r="H322" s="4" t="str">
        <f t="shared" ref="H322:H385" si="6">IF(C322&lt;=5000,$J$5,IF((C322&lt;10000),$J$6,IF((C322&lt;20000),$J$7,IF((C322&gt;=20000),$J$8))))</f>
        <v>Small (&lt;5k)</v>
      </c>
    </row>
    <row r="323" spans="1:9" x14ac:dyDescent="0.2">
      <c r="A323" s="15" t="s">
        <v>7</v>
      </c>
      <c r="B323" s="16" t="s">
        <v>2</v>
      </c>
      <c r="C323" s="2">
        <v>6240</v>
      </c>
      <c r="D323" s="2">
        <f>TPData[[#This Row],[Annual Contract Value (ACV)]]/12</f>
        <v>520</v>
      </c>
      <c r="E323" s="1">
        <v>43282</v>
      </c>
      <c r="F323" s="1">
        <f>EDATE(TPData[[#This Row],[Close Month]],11)</f>
        <v>43617</v>
      </c>
      <c r="G323" s="13" t="s">
        <v>517</v>
      </c>
      <c r="H323" s="4" t="str">
        <f t="shared" si="6"/>
        <v>Medium (&lt;10k)</v>
      </c>
    </row>
    <row r="324" spans="1:9" x14ac:dyDescent="0.2">
      <c r="A324" s="15" t="s">
        <v>8</v>
      </c>
      <c r="B324" s="16" t="s">
        <v>2</v>
      </c>
      <c r="C324" s="2">
        <v>10220.4</v>
      </c>
      <c r="D324" s="2">
        <f>TPData[[#This Row],[Annual Contract Value (ACV)]]/12</f>
        <v>851.69999999999993</v>
      </c>
      <c r="E324" s="1">
        <v>43282</v>
      </c>
      <c r="F324" s="1">
        <f>EDATE(TPData[[#This Row],[Close Month]],11)</f>
        <v>43617</v>
      </c>
      <c r="G324" s="13" t="s">
        <v>517</v>
      </c>
      <c r="H324" s="4" t="str">
        <f t="shared" si="6"/>
        <v>Large (&lt;20k)</v>
      </c>
    </row>
    <row r="325" spans="1:9" x14ac:dyDescent="0.2">
      <c r="A325" s="15" t="s">
        <v>9</v>
      </c>
      <c r="B325" s="16" t="s">
        <v>2</v>
      </c>
      <c r="C325" s="2">
        <v>5280</v>
      </c>
      <c r="D325" s="2">
        <f>TPData[[#This Row],[Annual Contract Value (ACV)]]/12</f>
        <v>440</v>
      </c>
      <c r="E325" s="1">
        <v>43282</v>
      </c>
      <c r="F325" s="1">
        <f>EDATE(TPData[[#This Row],[Close Month]],11)</f>
        <v>43617</v>
      </c>
      <c r="G325" s="13" t="s">
        <v>517</v>
      </c>
      <c r="H325" s="4" t="str">
        <f t="shared" si="6"/>
        <v>Medium (&lt;10k)</v>
      </c>
    </row>
    <row r="326" spans="1:9" x14ac:dyDescent="0.2">
      <c r="A326" s="15" t="s">
        <v>10</v>
      </c>
      <c r="B326" s="16" t="s">
        <v>2</v>
      </c>
      <c r="C326" s="2">
        <v>2940</v>
      </c>
      <c r="D326" s="2">
        <f>TPData[[#This Row],[Annual Contract Value (ACV)]]/12</f>
        <v>245</v>
      </c>
      <c r="E326" s="1">
        <v>43313</v>
      </c>
      <c r="F326" s="1">
        <f>EDATE(TPData[[#This Row],[Close Month]],11)</f>
        <v>43647</v>
      </c>
      <c r="G326" s="13" t="s">
        <v>517</v>
      </c>
      <c r="H326" s="4" t="str">
        <f t="shared" si="6"/>
        <v>Small (&lt;5k)</v>
      </c>
    </row>
    <row r="327" spans="1:9" x14ac:dyDescent="0.2">
      <c r="A327" s="15" t="s">
        <v>11</v>
      </c>
      <c r="B327" s="16" t="s">
        <v>2</v>
      </c>
      <c r="C327" s="2">
        <v>7142.04</v>
      </c>
      <c r="D327" s="2">
        <f>TPData[[#This Row],[Annual Contract Value (ACV)]]/12</f>
        <v>595.16999999999996</v>
      </c>
      <c r="E327" s="1">
        <v>43313</v>
      </c>
      <c r="F327" s="1">
        <f>EDATE(TPData[[#This Row],[Close Month]],11)</f>
        <v>43647</v>
      </c>
      <c r="G327" s="13" t="s">
        <v>517</v>
      </c>
      <c r="H327" s="4" t="str">
        <f t="shared" si="6"/>
        <v>Medium (&lt;10k)</v>
      </c>
    </row>
    <row r="328" spans="1:9" x14ac:dyDescent="0.2">
      <c r="A328" s="15" t="s">
        <v>12</v>
      </c>
      <c r="B328" s="16" t="s">
        <v>2</v>
      </c>
      <c r="C328" s="2">
        <v>2280</v>
      </c>
      <c r="D328" s="2">
        <f>TPData[[#This Row],[Annual Contract Value (ACV)]]/12</f>
        <v>190</v>
      </c>
      <c r="E328" s="1">
        <v>43313</v>
      </c>
      <c r="F328" s="1">
        <f>EDATE(TPData[[#This Row],[Close Month]],11)</f>
        <v>43647</v>
      </c>
      <c r="G328" s="13" t="s">
        <v>517</v>
      </c>
      <c r="H328" s="4" t="str">
        <f t="shared" si="6"/>
        <v>Small (&lt;5k)</v>
      </c>
    </row>
    <row r="329" spans="1:9" x14ac:dyDescent="0.2">
      <c r="A329" s="15" t="s">
        <v>13</v>
      </c>
      <c r="B329" s="16" t="s">
        <v>2</v>
      </c>
      <c r="C329" s="2">
        <v>1272</v>
      </c>
      <c r="D329" s="2">
        <f>TPData[[#This Row],[Annual Contract Value (ACV)]]/12</f>
        <v>106</v>
      </c>
      <c r="E329" s="1">
        <v>43344</v>
      </c>
      <c r="F329" s="1">
        <f>EDATE(TPData[[#This Row],[Close Month]],11)</f>
        <v>43678</v>
      </c>
      <c r="G329" s="13" t="s">
        <v>517</v>
      </c>
      <c r="H329" s="4" t="str">
        <f t="shared" si="6"/>
        <v>Small (&lt;5k)</v>
      </c>
    </row>
    <row r="330" spans="1:9" x14ac:dyDescent="0.2">
      <c r="A330" s="15" t="s">
        <v>14</v>
      </c>
      <c r="B330" s="16" t="s">
        <v>2</v>
      </c>
      <c r="C330" s="2">
        <v>2568</v>
      </c>
      <c r="D330" s="2">
        <f>TPData[[#This Row],[Annual Contract Value (ACV)]]/12</f>
        <v>214</v>
      </c>
      <c r="E330" s="1">
        <v>43344</v>
      </c>
      <c r="F330" s="1">
        <f>EDATE(TPData[[#This Row],[Close Month]],11)</f>
        <v>43678</v>
      </c>
      <c r="G330" s="13" t="s">
        <v>517</v>
      </c>
      <c r="H330" s="4" t="str">
        <f t="shared" si="6"/>
        <v>Small (&lt;5k)</v>
      </c>
    </row>
    <row r="331" spans="1:9" x14ac:dyDescent="0.2">
      <c r="A331" s="15" t="s">
        <v>15</v>
      </c>
      <c r="B331" s="16" t="s">
        <v>2</v>
      </c>
      <c r="C331" s="2">
        <v>7128</v>
      </c>
      <c r="D331" s="2">
        <f>TPData[[#This Row],[Annual Contract Value (ACV)]]/12</f>
        <v>594</v>
      </c>
      <c r="E331" s="1">
        <v>43344</v>
      </c>
      <c r="F331" s="1">
        <f>EDATE(TPData[[#This Row],[Close Month]],11)</f>
        <v>43678</v>
      </c>
      <c r="G331" s="13" t="s">
        <v>517</v>
      </c>
      <c r="H331" s="4" t="str">
        <f t="shared" si="6"/>
        <v>Medium (&lt;10k)</v>
      </c>
    </row>
    <row r="332" spans="1:9" x14ac:dyDescent="0.2">
      <c r="A332" s="15" t="s">
        <v>16</v>
      </c>
      <c r="B332" s="16" t="s">
        <v>2</v>
      </c>
      <c r="C332" s="2">
        <v>5076</v>
      </c>
      <c r="D332" s="2">
        <f>TPData[[#This Row],[Annual Contract Value (ACV)]]/12</f>
        <v>423</v>
      </c>
      <c r="E332" s="1">
        <v>43344</v>
      </c>
      <c r="F332" s="1">
        <f>EDATE(TPData[[#This Row],[Close Month]],11)</f>
        <v>43678</v>
      </c>
      <c r="G332" s="13" t="s">
        <v>517</v>
      </c>
      <c r="H332" s="4" t="str">
        <f t="shared" si="6"/>
        <v>Medium (&lt;10k)</v>
      </c>
    </row>
    <row r="333" spans="1:9" x14ac:dyDescent="0.2">
      <c r="A333" s="15" t="s">
        <v>17</v>
      </c>
      <c r="B333" s="16" t="s">
        <v>2</v>
      </c>
      <c r="C333" s="2">
        <v>1339.1999999999998</v>
      </c>
      <c r="D333" s="2">
        <f>TPData[[#This Row],[Annual Contract Value (ACV)]]/12</f>
        <v>111.59999999999998</v>
      </c>
      <c r="E333" s="1">
        <v>43344</v>
      </c>
      <c r="F333" s="1">
        <f>EDATE(TPData[[#This Row],[Close Month]],11)</f>
        <v>43678</v>
      </c>
      <c r="G333" s="13" t="s">
        <v>517</v>
      </c>
      <c r="H333" s="4" t="str">
        <f t="shared" si="6"/>
        <v>Small (&lt;5k)</v>
      </c>
    </row>
    <row r="334" spans="1:9" x14ac:dyDescent="0.2">
      <c r="A334" s="15" t="s">
        <v>18</v>
      </c>
      <c r="B334" s="16" t="s">
        <v>2</v>
      </c>
      <c r="C334" s="2">
        <v>4100.3999999999996</v>
      </c>
      <c r="D334" s="2">
        <f>TPData[[#This Row],[Annual Contract Value (ACV)]]/12</f>
        <v>341.7</v>
      </c>
      <c r="E334" s="1">
        <v>43374</v>
      </c>
      <c r="F334" s="1">
        <f>EDATE(TPData[[#This Row],[Close Month]],11)</f>
        <v>43709</v>
      </c>
      <c r="G334" s="13" t="s">
        <v>517</v>
      </c>
      <c r="H334" s="4" t="str">
        <f t="shared" si="6"/>
        <v>Small (&lt;5k)</v>
      </c>
      <c r="I334" s="5"/>
    </row>
    <row r="335" spans="1:9" x14ac:dyDescent="0.2">
      <c r="A335" s="15" t="s">
        <v>19</v>
      </c>
      <c r="B335" s="16" t="s">
        <v>2</v>
      </c>
      <c r="C335" s="2">
        <v>17820</v>
      </c>
      <c r="D335" s="2">
        <f>TPData[[#This Row],[Annual Contract Value (ACV)]]/12</f>
        <v>1485</v>
      </c>
      <c r="E335" s="1">
        <v>43374</v>
      </c>
      <c r="F335" s="1">
        <f>EDATE(TPData[[#This Row],[Close Month]],11)</f>
        <v>43709</v>
      </c>
      <c r="G335" s="13" t="s">
        <v>517</v>
      </c>
      <c r="H335" s="4" t="str">
        <f t="shared" si="6"/>
        <v>Large (&lt;20k)</v>
      </c>
      <c r="I335" s="5"/>
    </row>
    <row r="336" spans="1:9" x14ac:dyDescent="0.2">
      <c r="A336" s="15" t="s">
        <v>20</v>
      </c>
      <c r="B336" s="16" t="s">
        <v>2</v>
      </c>
      <c r="C336" s="2">
        <v>970</v>
      </c>
      <c r="D336" s="2">
        <f>TPData[[#This Row],[Annual Contract Value (ACV)]]/12</f>
        <v>80.833333333333329</v>
      </c>
      <c r="E336" s="1">
        <v>43374</v>
      </c>
      <c r="F336" s="1">
        <f>EDATE(TPData[[#This Row],[Close Month]],11)</f>
        <v>43709</v>
      </c>
      <c r="G336" s="13" t="s">
        <v>517</v>
      </c>
      <c r="H336" s="4" t="str">
        <f t="shared" si="6"/>
        <v>Small (&lt;5k)</v>
      </c>
      <c r="I336" s="5"/>
    </row>
    <row r="337" spans="1:9" x14ac:dyDescent="0.2">
      <c r="A337" s="15" t="s">
        <v>21</v>
      </c>
      <c r="B337" s="16" t="s">
        <v>2</v>
      </c>
      <c r="C337" s="2">
        <v>1030</v>
      </c>
      <c r="D337" s="2">
        <f>TPData[[#This Row],[Annual Contract Value (ACV)]]/12</f>
        <v>85.833333333333329</v>
      </c>
      <c r="E337" s="1">
        <v>43374</v>
      </c>
      <c r="F337" s="1">
        <f>EDATE(TPData[[#This Row],[Close Month]],11)</f>
        <v>43709</v>
      </c>
      <c r="G337" s="13" t="s">
        <v>517</v>
      </c>
      <c r="H337" s="4" t="str">
        <f t="shared" si="6"/>
        <v>Small (&lt;5k)</v>
      </c>
      <c r="I337" s="5"/>
    </row>
    <row r="338" spans="1:9" x14ac:dyDescent="0.2">
      <c r="A338" s="15" t="s">
        <v>22</v>
      </c>
      <c r="B338" s="16" t="s">
        <v>2</v>
      </c>
      <c r="C338" s="2">
        <v>7488</v>
      </c>
      <c r="D338" s="2">
        <f>TPData[[#This Row],[Annual Contract Value (ACV)]]/12</f>
        <v>624</v>
      </c>
      <c r="E338" s="1">
        <v>43374</v>
      </c>
      <c r="F338" s="1">
        <f>EDATE(TPData[[#This Row],[Close Month]],11)</f>
        <v>43709</v>
      </c>
      <c r="G338" s="13" t="s">
        <v>517</v>
      </c>
      <c r="H338" s="4" t="str">
        <f t="shared" si="6"/>
        <v>Medium (&lt;10k)</v>
      </c>
      <c r="I338" s="5"/>
    </row>
    <row r="339" spans="1:9" x14ac:dyDescent="0.2">
      <c r="A339" s="15" t="s">
        <v>23</v>
      </c>
      <c r="B339" s="16" t="s">
        <v>2</v>
      </c>
      <c r="C339" s="2">
        <v>1284</v>
      </c>
      <c r="D339" s="2">
        <f>TPData[[#This Row],[Annual Contract Value (ACV)]]/12</f>
        <v>107</v>
      </c>
      <c r="E339" s="1">
        <v>43374</v>
      </c>
      <c r="F339" s="1">
        <f>EDATE(TPData[[#This Row],[Close Month]],11)</f>
        <v>43709</v>
      </c>
      <c r="G339" s="13" t="s">
        <v>517</v>
      </c>
      <c r="H339" s="4" t="str">
        <f t="shared" si="6"/>
        <v>Small (&lt;5k)</v>
      </c>
      <c r="I339" s="5"/>
    </row>
    <row r="340" spans="1:9" x14ac:dyDescent="0.2">
      <c r="A340" s="15" t="s">
        <v>24</v>
      </c>
      <c r="B340" s="16" t="s">
        <v>2</v>
      </c>
      <c r="C340" s="2">
        <v>23100.000000000004</v>
      </c>
      <c r="D340" s="2">
        <f>TPData[[#This Row],[Annual Contract Value (ACV)]]/12</f>
        <v>1925.0000000000002</v>
      </c>
      <c r="E340" s="1">
        <v>43374</v>
      </c>
      <c r="F340" s="1">
        <f>EDATE(TPData[[#This Row],[Close Month]],11)</f>
        <v>43709</v>
      </c>
      <c r="G340" s="13" t="s">
        <v>517</v>
      </c>
      <c r="H340" s="4" t="str">
        <f t="shared" si="6"/>
        <v>Mega (20k+)</v>
      </c>
      <c r="I340" s="5"/>
    </row>
    <row r="341" spans="1:9" x14ac:dyDescent="0.2">
      <c r="A341" s="15" t="s">
        <v>25</v>
      </c>
      <c r="B341" s="16" t="s">
        <v>2</v>
      </c>
      <c r="C341" s="2">
        <v>5936.4</v>
      </c>
      <c r="D341" s="2">
        <f>TPData[[#This Row],[Annual Contract Value (ACV)]]/12</f>
        <v>494.7</v>
      </c>
      <c r="E341" s="1">
        <v>43405</v>
      </c>
      <c r="F341" s="1">
        <f>EDATE(TPData[[#This Row],[Close Month]],11)</f>
        <v>43739</v>
      </c>
      <c r="G341" s="13" t="s">
        <v>517</v>
      </c>
      <c r="H341" s="4" t="str">
        <f t="shared" si="6"/>
        <v>Medium (&lt;10k)</v>
      </c>
      <c r="I341" s="5"/>
    </row>
    <row r="342" spans="1:9" x14ac:dyDescent="0.2">
      <c r="A342" s="15" t="s">
        <v>26</v>
      </c>
      <c r="B342" s="16" t="s">
        <v>2</v>
      </c>
      <c r="C342" s="2">
        <v>3632.9700000000003</v>
      </c>
      <c r="D342" s="2">
        <f>TPData[[#This Row],[Annual Contract Value (ACV)]]/12</f>
        <v>302.7475</v>
      </c>
      <c r="E342" s="1">
        <v>43435</v>
      </c>
      <c r="F342" s="1">
        <f>EDATE(TPData[[#This Row],[Close Month]],11)</f>
        <v>43770</v>
      </c>
      <c r="G342" s="13" t="s">
        <v>517</v>
      </c>
      <c r="H342" s="4" t="str">
        <f t="shared" si="6"/>
        <v>Small (&lt;5k)</v>
      </c>
      <c r="I342" s="5"/>
    </row>
    <row r="343" spans="1:9" x14ac:dyDescent="0.2">
      <c r="A343" s="15" t="s">
        <v>27</v>
      </c>
      <c r="B343" s="16" t="s">
        <v>2</v>
      </c>
      <c r="C343" s="2">
        <v>13068</v>
      </c>
      <c r="D343" s="2">
        <f>TPData[[#This Row],[Annual Contract Value (ACV)]]/12</f>
        <v>1089</v>
      </c>
      <c r="E343" s="1">
        <v>43435</v>
      </c>
      <c r="F343" s="1">
        <f>EDATE(TPData[[#This Row],[Close Month]],11)</f>
        <v>43770</v>
      </c>
      <c r="G343" s="13" t="s">
        <v>517</v>
      </c>
      <c r="H343" s="4" t="str">
        <f t="shared" si="6"/>
        <v>Large (&lt;20k)</v>
      </c>
      <c r="I343" s="5"/>
    </row>
    <row r="344" spans="1:9" x14ac:dyDescent="0.2">
      <c r="A344" s="15" t="s">
        <v>28</v>
      </c>
      <c r="B344" s="16" t="s">
        <v>2</v>
      </c>
      <c r="C344" s="2">
        <v>3600</v>
      </c>
      <c r="D344" s="2">
        <f>TPData[[#This Row],[Annual Contract Value (ACV)]]/12</f>
        <v>300</v>
      </c>
      <c r="E344" s="1">
        <v>43435</v>
      </c>
      <c r="F344" s="1">
        <f>EDATE(TPData[[#This Row],[Close Month]],11)</f>
        <v>43770</v>
      </c>
      <c r="G344" s="13" t="s">
        <v>517</v>
      </c>
      <c r="H344" s="4" t="str">
        <f t="shared" si="6"/>
        <v>Small (&lt;5k)</v>
      </c>
      <c r="I344" s="5"/>
    </row>
    <row r="345" spans="1:9" x14ac:dyDescent="0.2">
      <c r="A345" s="15" t="s">
        <v>29</v>
      </c>
      <c r="B345" s="16" t="s">
        <v>2</v>
      </c>
      <c r="C345" s="2">
        <v>5999.4000000000005</v>
      </c>
      <c r="D345" s="2">
        <f>TPData[[#This Row],[Annual Contract Value (ACV)]]/12</f>
        <v>499.95000000000005</v>
      </c>
      <c r="E345" s="1">
        <v>43435</v>
      </c>
      <c r="F345" s="1">
        <f>EDATE(TPData[[#This Row],[Close Month]],11)</f>
        <v>43770</v>
      </c>
      <c r="G345" s="13" t="s">
        <v>517</v>
      </c>
      <c r="H345" s="4" t="str">
        <f t="shared" si="6"/>
        <v>Medium (&lt;10k)</v>
      </c>
      <c r="I345" s="5"/>
    </row>
    <row r="346" spans="1:9" x14ac:dyDescent="0.2">
      <c r="A346" s="15" t="s">
        <v>30</v>
      </c>
      <c r="B346" s="16" t="s">
        <v>2</v>
      </c>
      <c r="C346" s="2">
        <v>1365</v>
      </c>
      <c r="D346" s="2">
        <f>TPData[[#This Row],[Annual Contract Value (ACV)]]/12</f>
        <v>113.75</v>
      </c>
      <c r="E346" s="1">
        <v>43435</v>
      </c>
      <c r="F346" s="1">
        <f>EDATE(TPData[[#This Row],[Close Month]],11)</f>
        <v>43770</v>
      </c>
      <c r="G346" s="13" t="s">
        <v>517</v>
      </c>
      <c r="H346" s="4" t="str">
        <f t="shared" si="6"/>
        <v>Small (&lt;5k)</v>
      </c>
      <c r="I346" s="5"/>
    </row>
    <row r="347" spans="1:9" x14ac:dyDescent="0.2">
      <c r="A347" s="15" t="s">
        <v>31</v>
      </c>
      <c r="B347" s="16" t="s">
        <v>2</v>
      </c>
      <c r="C347" s="2">
        <v>3816</v>
      </c>
      <c r="D347" s="2">
        <f>TPData[[#This Row],[Annual Contract Value (ACV)]]/12</f>
        <v>318</v>
      </c>
      <c r="E347" s="1">
        <v>43466</v>
      </c>
      <c r="F347" s="1">
        <f>EDATE(TPData[[#This Row],[Close Month]],11)</f>
        <v>43800</v>
      </c>
      <c r="G347" s="13" t="s">
        <v>517</v>
      </c>
      <c r="H347" s="4" t="str">
        <f t="shared" si="6"/>
        <v>Small (&lt;5k)</v>
      </c>
    </row>
    <row r="348" spans="1:9" x14ac:dyDescent="0.2">
      <c r="A348" s="15" t="s">
        <v>32</v>
      </c>
      <c r="B348" s="16" t="s">
        <v>2</v>
      </c>
      <c r="C348" s="2">
        <v>6600.0000000000009</v>
      </c>
      <c r="D348" s="2">
        <f>TPData[[#This Row],[Annual Contract Value (ACV)]]/12</f>
        <v>550.00000000000011</v>
      </c>
      <c r="E348" s="1">
        <v>43466</v>
      </c>
      <c r="F348" s="1">
        <f>EDATE(TPData[[#This Row],[Close Month]],11)</f>
        <v>43800</v>
      </c>
      <c r="G348" s="13" t="s">
        <v>517</v>
      </c>
      <c r="H348" s="4" t="str">
        <f t="shared" si="6"/>
        <v>Medium (&lt;10k)</v>
      </c>
    </row>
    <row r="349" spans="1:9" x14ac:dyDescent="0.2">
      <c r="A349" s="15" t="s">
        <v>33</v>
      </c>
      <c r="B349" s="16" t="s">
        <v>2</v>
      </c>
      <c r="C349" s="2">
        <v>10584</v>
      </c>
      <c r="D349" s="2">
        <f>TPData[[#This Row],[Annual Contract Value (ACV)]]/12</f>
        <v>882</v>
      </c>
      <c r="E349" s="1">
        <v>43466</v>
      </c>
      <c r="F349" s="1">
        <f>EDATE(TPData[[#This Row],[Close Month]],11)</f>
        <v>43800</v>
      </c>
      <c r="G349" s="13" t="s">
        <v>517</v>
      </c>
      <c r="H349" s="4" t="str">
        <f t="shared" si="6"/>
        <v>Large (&lt;20k)</v>
      </c>
    </row>
    <row r="350" spans="1:9" x14ac:dyDescent="0.2">
      <c r="A350" s="15" t="s">
        <v>34</v>
      </c>
      <c r="B350" s="16" t="s">
        <v>2</v>
      </c>
      <c r="C350" s="2">
        <v>1530</v>
      </c>
      <c r="D350" s="2">
        <f>TPData[[#This Row],[Annual Contract Value (ACV)]]/12</f>
        <v>127.5</v>
      </c>
      <c r="E350" s="1">
        <v>43466</v>
      </c>
      <c r="F350" s="1">
        <f>EDATE(TPData[[#This Row],[Close Month]],11)</f>
        <v>43800</v>
      </c>
      <c r="G350" s="13" t="s">
        <v>517</v>
      </c>
      <c r="H350" s="4" t="str">
        <f t="shared" si="6"/>
        <v>Small (&lt;5k)</v>
      </c>
    </row>
    <row r="351" spans="1:9" x14ac:dyDescent="0.2">
      <c r="A351" s="15" t="s">
        <v>35</v>
      </c>
      <c r="B351" s="16" t="s">
        <v>2</v>
      </c>
      <c r="C351" s="2">
        <v>2401.92</v>
      </c>
      <c r="D351" s="2">
        <f>TPData[[#This Row],[Annual Contract Value (ACV)]]/12</f>
        <v>200.16</v>
      </c>
      <c r="E351" s="1">
        <v>43466</v>
      </c>
      <c r="F351" s="1">
        <f>EDATE(TPData[[#This Row],[Close Month]],11)</f>
        <v>43800</v>
      </c>
      <c r="G351" s="13" t="s">
        <v>517</v>
      </c>
      <c r="H351" s="4" t="str">
        <f t="shared" si="6"/>
        <v>Small (&lt;5k)</v>
      </c>
    </row>
    <row r="352" spans="1:9" x14ac:dyDescent="0.2">
      <c r="A352" s="15" t="s">
        <v>36</v>
      </c>
      <c r="B352" s="16" t="s">
        <v>2</v>
      </c>
      <c r="C352" s="2">
        <v>13200</v>
      </c>
      <c r="D352" s="2">
        <f>TPData[[#This Row],[Annual Contract Value (ACV)]]/12</f>
        <v>1100</v>
      </c>
      <c r="E352" s="1">
        <v>43466</v>
      </c>
      <c r="F352" s="1">
        <f>EDATE(TPData[[#This Row],[Close Month]],11)</f>
        <v>43800</v>
      </c>
      <c r="G352" s="13" t="s">
        <v>517</v>
      </c>
      <c r="H352" s="4" t="str">
        <f t="shared" si="6"/>
        <v>Large (&lt;20k)</v>
      </c>
    </row>
    <row r="353" spans="1:9" x14ac:dyDescent="0.2">
      <c r="A353" s="15" t="s">
        <v>37</v>
      </c>
      <c r="B353" s="16" t="s">
        <v>2</v>
      </c>
      <c r="C353" s="2">
        <v>8928</v>
      </c>
      <c r="D353" s="2">
        <f>TPData[[#This Row],[Annual Contract Value (ACV)]]/12</f>
        <v>744</v>
      </c>
      <c r="E353" s="1">
        <v>43497</v>
      </c>
      <c r="F353" s="1">
        <f>EDATE(TPData[[#This Row],[Close Month]],11)</f>
        <v>43831</v>
      </c>
      <c r="G353" s="13" t="s">
        <v>517</v>
      </c>
      <c r="H353" s="4" t="str">
        <f t="shared" si="6"/>
        <v>Medium (&lt;10k)</v>
      </c>
      <c r="I353" s="4"/>
    </row>
    <row r="354" spans="1:9" x14ac:dyDescent="0.2">
      <c r="A354" s="15" t="s">
        <v>38</v>
      </c>
      <c r="B354" s="16" t="s">
        <v>2</v>
      </c>
      <c r="C354" s="2">
        <v>1284</v>
      </c>
      <c r="D354" s="2">
        <f>TPData[[#This Row],[Annual Contract Value (ACV)]]/12</f>
        <v>107</v>
      </c>
      <c r="E354" s="1">
        <v>43497</v>
      </c>
      <c r="F354" s="1">
        <f>EDATE(TPData[[#This Row],[Close Month]],11)</f>
        <v>43831</v>
      </c>
      <c r="G354" s="13" t="s">
        <v>517</v>
      </c>
      <c r="H354" s="4" t="str">
        <f t="shared" si="6"/>
        <v>Small (&lt;5k)</v>
      </c>
      <c r="I354" s="4"/>
    </row>
    <row r="355" spans="1:9" x14ac:dyDescent="0.2">
      <c r="A355" s="15" t="s">
        <v>39</v>
      </c>
      <c r="B355" s="16" t="s">
        <v>2</v>
      </c>
      <c r="C355" s="2">
        <v>3120</v>
      </c>
      <c r="D355" s="2">
        <f>TPData[[#This Row],[Annual Contract Value (ACV)]]/12</f>
        <v>260</v>
      </c>
      <c r="E355" s="1">
        <v>43525</v>
      </c>
      <c r="F355" s="1">
        <f>EDATE(TPData[[#This Row],[Close Month]],11)</f>
        <v>43862</v>
      </c>
      <c r="G355" s="13" t="s">
        <v>517</v>
      </c>
      <c r="H355" s="4" t="str">
        <f t="shared" si="6"/>
        <v>Small (&lt;5k)</v>
      </c>
    </row>
    <row r="356" spans="1:9" x14ac:dyDescent="0.2">
      <c r="A356" s="15" t="s">
        <v>40</v>
      </c>
      <c r="B356" s="16" t="s">
        <v>2</v>
      </c>
      <c r="C356" s="2">
        <v>20804.16</v>
      </c>
      <c r="D356" s="2">
        <f>TPData[[#This Row],[Annual Contract Value (ACV)]]/12</f>
        <v>1733.68</v>
      </c>
      <c r="E356" s="1">
        <v>43525</v>
      </c>
      <c r="F356" s="1">
        <f>EDATE(TPData[[#This Row],[Close Month]],11)</f>
        <v>43862</v>
      </c>
      <c r="G356" s="13" t="s">
        <v>517</v>
      </c>
      <c r="H356" s="4" t="str">
        <f t="shared" si="6"/>
        <v>Mega (20k+)</v>
      </c>
    </row>
    <row r="357" spans="1:9" x14ac:dyDescent="0.2">
      <c r="A357" s="15" t="s">
        <v>41</v>
      </c>
      <c r="B357" s="16" t="s">
        <v>2</v>
      </c>
      <c r="C357" s="2">
        <v>3924.0000000000005</v>
      </c>
      <c r="D357" s="2">
        <f>TPData[[#This Row],[Annual Contract Value (ACV)]]/12</f>
        <v>327.00000000000006</v>
      </c>
      <c r="E357" s="1">
        <v>43525</v>
      </c>
      <c r="F357" s="1">
        <f>EDATE(TPData[[#This Row],[Close Month]],11)</f>
        <v>43862</v>
      </c>
      <c r="G357" s="13" t="s">
        <v>517</v>
      </c>
      <c r="H357" s="4" t="str">
        <f t="shared" si="6"/>
        <v>Small (&lt;5k)</v>
      </c>
    </row>
    <row r="358" spans="1:9" x14ac:dyDescent="0.2">
      <c r="A358" s="15" t="s">
        <v>42</v>
      </c>
      <c r="B358" s="16" t="s">
        <v>2</v>
      </c>
      <c r="C358" s="2">
        <v>2499</v>
      </c>
      <c r="D358" s="2">
        <f>TPData[[#This Row],[Annual Contract Value (ACV)]]/12</f>
        <v>208.25</v>
      </c>
      <c r="E358" s="1">
        <v>43525</v>
      </c>
      <c r="F358" s="1">
        <f>EDATE(TPData[[#This Row],[Close Month]],11)</f>
        <v>43862</v>
      </c>
      <c r="G358" s="13" t="s">
        <v>517</v>
      </c>
      <c r="H358" s="4" t="str">
        <f t="shared" si="6"/>
        <v>Small (&lt;5k)</v>
      </c>
    </row>
    <row r="359" spans="1:9" x14ac:dyDescent="0.2">
      <c r="A359" s="15" t="s">
        <v>43</v>
      </c>
      <c r="B359" s="16" t="s">
        <v>2</v>
      </c>
      <c r="C359" s="2">
        <v>9101.82</v>
      </c>
      <c r="D359" s="2">
        <f>TPData[[#This Row],[Annual Contract Value (ACV)]]/12</f>
        <v>758.48500000000001</v>
      </c>
      <c r="E359" s="1">
        <v>43525</v>
      </c>
      <c r="F359" s="1">
        <f>EDATE(TPData[[#This Row],[Close Month]],11)</f>
        <v>43862</v>
      </c>
      <c r="G359" s="13" t="s">
        <v>517</v>
      </c>
      <c r="H359" s="4" t="str">
        <f t="shared" si="6"/>
        <v>Medium (&lt;10k)</v>
      </c>
    </row>
    <row r="360" spans="1:9" x14ac:dyDescent="0.2">
      <c r="A360" s="15" t="s">
        <v>44</v>
      </c>
      <c r="B360" s="16" t="s">
        <v>2</v>
      </c>
      <c r="C360" s="2">
        <v>972.00000000000011</v>
      </c>
      <c r="D360" s="2">
        <f>TPData[[#This Row],[Annual Contract Value (ACV)]]/12</f>
        <v>81.000000000000014</v>
      </c>
      <c r="E360" s="1">
        <v>43525</v>
      </c>
      <c r="F360" s="1">
        <f>EDATE(TPData[[#This Row],[Close Month]],11)</f>
        <v>43862</v>
      </c>
      <c r="G360" s="13" t="s">
        <v>517</v>
      </c>
      <c r="H360" s="4" t="str">
        <f t="shared" si="6"/>
        <v>Small (&lt;5k)</v>
      </c>
    </row>
    <row r="361" spans="1:9" x14ac:dyDescent="0.2">
      <c r="A361" s="15" t="s">
        <v>45</v>
      </c>
      <c r="B361" s="16" t="s">
        <v>2</v>
      </c>
      <c r="C361" s="2">
        <v>5016.18</v>
      </c>
      <c r="D361" s="2">
        <f>TPData[[#This Row],[Annual Contract Value (ACV)]]/12</f>
        <v>418.01500000000004</v>
      </c>
      <c r="E361" s="1">
        <v>43556</v>
      </c>
      <c r="F361" s="1">
        <f>EDATE(TPData[[#This Row],[Close Month]],11)</f>
        <v>43891</v>
      </c>
      <c r="G361" s="13" t="s">
        <v>517</v>
      </c>
      <c r="H361" s="4" t="str">
        <f t="shared" si="6"/>
        <v>Medium (&lt;10k)</v>
      </c>
    </row>
    <row r="362" spans="1:9" x14ac:dyDescent="0.2">
      <c r="A362" s="15" t="s">
        <v>46</v>
      </c>
      <c r="B362" s="16" t="s">
        <v>2</v>
      </c>
      <c r="C362" s="2">
        <v>8988</v>
      </c>
      <c r="D362" s="2">
        <f>TPData[[#This Row],[Annual Contract Value (ACV)]]/12</f>
        <v>749</v>
      </c>
      <c r="E362" s="1">
        <v>43556</v>
      </c>
      <c r="F362" s="1">
        <f>EDATE(TPData[[#This Row],[Close Month]],11)</f>
        <v>43891</v>
      </c>
      <c r="G362" s="13" t="s">
        <v>517</v>
      </c>
      <c r="H362" s="4" t="str">
        <f t="shared" si="6"/>
        <v>Medium (&lt;10k)</v>
      </c>
    </row>
    <row r="363" spans="1:9" x14ac:dyDescent="0.2">
      <c r="A363" s="15" t="s">
        <v>47</v>
      </c>
      <c r="B363" s="16" t="s">
        <v>2</v>
      </c>
      <c r="C363" s="2">
        <v>5292</v>
      </c>
      <c r="D363" s="2">
        <f>TPData[[#This Row],[Annual Contract Value (ACV)]]/12</f>
        <v>441</v>
      </c>
      <c r="E363" s="1">
        <v>43586</v>
      </c>
      <c r="F363" s="1">
        <f>EDATE(TPData[[#This Row],[Close Month]],11)</f>
        <v>43922</v>
      </c>
      <c r="G363" s="13" t="s">
        <v>517</v>
      </c>
      <c r="H363" s="4" t="str">
        <f t="shared" si="6"/>
        <v>Medium (&lt;10k)</v>
      </c>
      <c r="I363" s="4"/>
    </row>
    <row r="364" spans="1:9" x14ac:dyDescent="0.2">
      <c r="A364" s="15" t="s">
        <v>48</v>
      </c>
      <c r="B364" s="16" t="s">
        <v>2</v>
      </c>
      <c r="C364" s="2">
        <v>1188</v>
      </c>
      <c r="D364" s="2">
        <f>TPData[[#This Row],[Annual Contract Value (ACV)]]/12</f>
        <v>99</v>
      </c>
      <c r="E364" s="1">
        <v>43586</v>
      </c>
      <c r="F364" s="1">
        <f>EDATE(TPData[[#This Row],[Close Month]],11)</f>
        <v>43922</v>
      </c>
      <c r="G364" s="13" t="s">
        <v>517</v>
      </c>
      <c r="H364" s="4" t="str">
        <f t="shared" si="6"/>
        <v>Small (&lt;5k)</v>
      </c>
      <c r="I364" s="4"/>
    </row>
    <row r="365" spans="1:9" x14ac:dyDescent="0.2">
      <c r="A365" s="15" t="s">
        <v>49</v>
      </c>
      <c r="B365" s="16" t="s">
        <v>2</v>
      </c>
      <c r="C365" s="2">
        <v>9707.880000000001</v>
      </c>
      <c r="D365" s="2">
        <f>TPData[[#This Row],[Annual Contract Value (ACV)]]/12</f>
        <v>808.99000000000012</v>
      </c>
      <c r="E365" s="1">
        <v>43617</v>
      </c>
      <c r="F365" s="1">
        <f>EDATE(TPData[[#This Row],[Close Month]],11)</f>
        <v>43952</v>
      </c>
      <c r="G365" s="13" t="s">
        <v>517</v>
      </c>
      <c r="H365" s="4" t="str">
        <f t="shared" si="6"/>
        <v>Medium (&lt;10k)</v>
      </c>
      <c r="I365" s="4"/>
    </row>
    <row r="366" spans="1:9" x14ac:dyDescent="0.2">
      <c r="A366" s="15" t="s">
        <v>104</v>
      </c>
      <c r="B366" s="16" t="s">
        <v>2</v>
      </c>
      <c r="C366" s="2">
        <v>15680.0784</v>
      </c>
      <c r="D366" s="2">
        <f>TPData[[#This Row],[Annual Contract Value (ACV)]]/12</f>
        <v>1306.6732</v>
      </c>
      <c r="E366" s="1">
        <v>43282</v>
      </c>
      <c r="F366" s="1">
        <f>EDATE(TPData[[#This Row],[Close Month]],11)</f>
        <v>43617</v>
      </c>
      <c r="G366" s="13" t="s">
        <v>518</v>
      </c>
      <c r="H366" s="4" t="str">
        <f t="shared" si="6"/>
        <v>Large (&lt;20k)</v>
      </c>
    </row>
    <row r="367" spans="1:9" x14ac:dyDescent="0.2">
      <c r="A367" s="15" t="s">
        <v>105</v>
      </c>
      <c r="B367" s="16" t="s">
        <v>2</v>
      </c>
      <c r="C367" s="2">
        <v>1284</v>
      </c>
      <c r="D367" s="2">
        <f>TPData[[#This Row],[Annual Contract Value (ACV)]]/12</f>
        <v>107</v>
      </c>
      <c r="E367" s="1">
        <v>43282</v>
      </c>
      <c r="F367" s="1">
        <f>EDATE(TPData[[#This Row],[Close Month]],11)</f>
        <v>43617</v>
      </c>
      <c r="G367" s="13" t="s">
        <v>518</v>
      </c>
      <c r="H367" s="4" t="str">
        <f t="shared" si="6"/>
        <v>Small (&lt;5k)</v>
      </c>
    </row>
    <row r="368" spans="1:9" x14ac:dyDescent="0.2">
      <c r="A368" s="15" t="s">
        <v>531</v>
      </c>
      <c r="B368" s="16" t="s">
        <v>2</v>
      </c>
      <c r="C368" s="2">
        <v>10750</v>
      </c>
      <c r="D368" s="2">
        <f>TPData[[#This Row],[Annual Contract Value (ACV)]]/12</f>
        <v>895.83333333333337</v>
      </c>
      <c r="E368" s="1">
        <v>43466</v>
      </c>
      <c r="F368" s="1">
        <f>EDATE(TPData[[#This Row],[Close Month]],11)</f>
        <v>43800</v>
      </c>
      <c r="G368" s="13" t="s">
        <v>518</v>
      </c>
      <c r="H368" s="4" t="str">
        <f t="shared" si="6"/>
        <v>Large (&lt;20k)</v>
      </c>
    </row>
    <row r="369" spans="1:8" x14ac:dyDescent="0.2">
      <c r="A369" s="15" t="s">
        <v>530</v>
      </c>
      <c r="B369" s="16" t="s">
        <v>2</v>
      </c>
      <c r="C369" s="2">
        <v>8542</v>
      </c>
      <c r="D369" s="2">
        <f>TPData[[#This Row],[Annual Contract Value (ACV)]]/12</f>
        <v>711.83333333333337</v>
      </c>
      <c r="E369" s="1">
        <v>43466</v>
      </c>
      <c r="F369" s="1">
        <f>EDATE(TPData[[#This Row],[Close Month]],11)</f>
        <v>43800</v>
      </c>
      <c r="G369" s="13" t="s">
        <v>518</v>
      </c>
      <c r="H369" s="4" t="str">
        <f t="shared" si="6"/>
        <v>Medium (&lt;10k)</v>
      </c>
    </row>
    <row r="370" spans="1:8" x14ac:dyDescent="0.2">
      <c r="A370" s="15" t="s">
        <v>106</v>
      </c>
      <c r="B370" s="16" t="s">
        <v>2</v>
      </c>
      <c r="C370" s="2">
        <v>12720</v>
      </c>
      <c r="D370" s="2">
        <f>TPData[[#This Row],[Annual Contract Value (ACV)]]/12</f>
        <v>1060</v>
      </c>
      <c r="E370" s="1">
        <v>43282</v>
      </c>
      <c r="F370" s="1">
        <f>EDATE(TPData[[#This Row],[Close Month]],11)</f>
        <v>43617</v>
      </c>
      <c r="G370" s="13" t="s">
        <v>518</v>
      </c>
      <c r="H370" s="4" t="str">
        <f t="shared" si="6"/>
        <v>Large (&lt;20k)</v>
      </c>
    </row>
    <row r="371" spans="1:8" x14ac:dyDescent="0.2">
      <c r="A371" s="15" t="s">
        <v>107</v>
      </c>
      <c r="B371" s="16" t="s">
        <v>2</v>
      </c>
      <c r="C371" s="2">
        <v>2208</v>
      </c>
      <c r="D371" s="2">
        <f>TPData[[#This Row],[Annual Contract Value (ACV)]]/12</f>
        <v>184</v>
      </c>
      <c r="E371" s="1">
        <v>43282</v>
      </c>
      <c r="F371" s="1">
        <f>EDATE(TPData[[#This Row],[Close Month]],11)</f>
        <v>43617</v>
      </c>
      <c r="G371" s="13" t="s">
        <v>518</v>
      </c>
      <c r="H371" s="4" t="str">
        <f t="shared" si="6"/>
        <v>Small (&lt;5k)</v>
      </c>
    </row>
    <row r="372" spans="1:8" x14ac:dyDescent="0.2">
      <c r="A372" s="15" t="s">
        <v>108</v>
      </c>
      <c r="B372" s="16" t="s">
        <v>2</v>
      </c>
      <c r="C372" s="2">
        <v>2568</v>
      </c>
      <c r="D372" s="2">
        <f>TPData[[#This Row],[Annual Contract Value (ACV)]]/12</f>
        <v>214</v>
      </c>
      <c r="E372" s="1">
        <v>43282</v>
      </c>
      <c r="F372" s="1">
        <f>EDATE(TPData[[#This Row],[Close Month]],11)</f>
        <v>43617</v>
      </c>
      <c r="G372" s="13" t="s">
        <v>518</v>
      </c>
      <c r="H372" s="4" t="str">
        <f t="shared" si="6"/>
        <v>Small (&lt;5k)</v>
      </c>
    </row>
    <row r="373" spans="1:8" x14ac:dyDescent="0.2">
      <c r="A373" s="15" t="s">
        <v>109</v>
      </c>
      <c r="B373" s="16" t="s">
        <v>2</v>
      </c>
      <c r="C373" s="2">
        <v>3120</v>
      </c>
      <c r="D373" s="2">
        <f>TPData[[#This Row],[Annual Contract Value (ACV)]]/12</f>
        <v>260</v>
      </c>
      <c r="E373" s="1">
        <v>43282</v>
      </c>
      <c r="F373" s="1">
        <f>EDATE(TPData[[#This Row],[Close Month]],11)</f>
        <v>43617</v>
      </c>
      <c r="G373" s="13" t="s">
        <v>518</v>
      </c>
      <c r="H373" s="4" t="str">
        <f t="shared" si="6"/>
        <v>Small (&lt;5k)</v>
      </c>
    </row>
    <row r="374" spans="1:8" x14ac:dyDescent="0.2">
      <c r="A374" s="15" t="s">
        <v>110</v>
      </c>
      <c r="B374" s="16" t="s">
        <v>2</v>
      </c>
      <c r="C374" s="2">
        <v>3300.0000000000005</v>
      </c>
      <c r="D374" s="2">
        <f>TPData[[#This Row],[Annual Contract Value (ACV)]]/12</f>
        <v>275.00000000000006</v>
      </c>
      <c r="E374" s="1">
        <v>43313</v>
      </c>
      <c r="F374" s="1">
        <f>EDATE(TPData[[#This Row],[Close Month]],11)</f>
        <v>43647</v>
      </c>
      <c r="G374" s="13" t="s">
        <v>518</v>
      </c>
      <c r="H374" s="4" t="str">
        <f t="shared" si="6"/>
        <v>Small (&lt;5k)</v>
      </c>
    </row>
    <row r="375" spans="1:8" x14ac:dyDescent="0.2">
      <c r="A375" s="15" t="s">
        <v>111</v>
      </c>
      <c r="B375" s="16" t="s">
        <v>2</v>
      </c>
      <c r="C375" s="2">
        <v>4512</v>
      </c>
      <c r="D375" s="2">
        <f>TPData[[#This Row],[Annual Contract Value (ACV)]]/12</f>
        <v>376</v>
      </c>
      <c r="E375" s="1">
        <v>43313</v>
      </c>
      <c r="F375" s="1">
        <f>EDATE(TPData[[#This Row],[Close Month]],11)</f>
        <v>43647</v>
      </c>
      <c r="G375" s="13" t="s">
        <v>518</v>
      </c>
      <c r="H375" s="4" t="str">
        <f t="shared" si="6"/>
        <v>Small (&lt;5k)</v>
      </c>
    </row>
    <row r="376" spans="1:8" x14ac:dyDescent="0.2">
      <c r="A376" s="15" t="s">
        <v>112</v>
      </c>
      <c r="B376" s="16" t="s">
        <v>2</v>
      </c>
      <c r="C376" s="2">
        <v>2730</v>
      </c>
      <c r="D376" s="2">
        <f>TPData[[#This Row],[Annual Contract Value (ACV)]]/12</f>
        <v>227.5</v>
      </c>
      <c r="E376" s="1">
        <v>43313</v>
      </c>
      <c r="F376" s="1">
        <f>EDATE(TPData[[#This Row],[Close Month]],11)</f>
        <v>43647</v>
      </c>
      <c r="G376" s="13" t="s">
        <v>518</v>
      </c>
      <c r="H376" s="4" t="str">
        <f t="shared" si="6"/>
        <v>Small (&lt;5k)</v>
      </c>
    </row>
    <row r="377" spans="1:8" x14ac:dyDescent="0.2">
      <c r="A377" s="15" t="s">
        <v>534</v>
      </c>
      <c r="B377" s="16" t="s">
        <v>2</v>
      </c>
      <c r="C377" s="2">
        <v>5500</v>
      </c>
      <c r="D377" s="2">
        <f>TPData[[#This Row],[Annual Contract Value (ACV)]]/12</f>
        <v>458.33333333333331</v>
      </c>
      <c r="E377" s="1">
        <v>43586</v>
      </c>
      <c r="F377" s="1">
        <f>EDATE(TPData[[#This Row],[Close Month]],11)</f>
        <v>43922</v>
      </c>
      <c r="G377" s="13" t="s">
        <v>518</v>
      </c>
      <c r="H377" s="4" t="str">
        <f t="shared" si="6"/>
        <v>Medium (&lt;10k)</v>
      </c>
    </row>
    <row r="378" spans="1:8" x14ac:dyDescent="0.2">
      <c r="A378" s="15" t="s">
        <v>535</v>
      </c>
      <c r="B378" s="16" t="s">
        <v>2</v>
      </c>
      <c r="C378" s="2">
        <v>14250</v>
      </c>
      <c r="D378" s="2">
        <f>TPData[[#This Row],[Annual Contract Value (ACV)]]/12</f>
        <v>1187.5</v>
      </c>
      <c r="E378" s="1">
        <v>43586</v>
      </c>
      <c r="F378" s="1">
        <f>EDATE(TPData[[#This Row],[Close Month]],11)</f>
        <v>43922</v>
      </c>
      <c r="G378" s="13" t="s">
        <v>518</v>
      </c>
      <c r="H378" s="4" t="str">
        <f t="shared" si="6"/>
        <v>Large (&lt;20k)</v>
      </c>
    </row>
    <row r="379" spans="1:8" x14ac:dyDescent="0.2">
      <c r="A379" s="15" t="s">
        <v>536</v>
      </c>
      <c r="B379" s="16" t="s">
        <v>2</v>
      </c>
      <c r="C379" s="2">
        <v>1425</v>
      </c>
      <c r="D379" s="2">
        <f>TPData[[#This Row],[Annual Contract Value (ACV)]]/12</f>
        <v>118.75</v>
      </c>
      <c r="E379" s="1">
        <v>43617</v>
      </c>
      <c r="F379" s="1">
        <f>EDATE(TPData[[#This Row],[Close Month]],11)</f>
        <v>43952</v>
      </c>
      <c r="G379" s="13" t="s">
        <v>518</v>
      </c>
      <c r="H379" s="4" t="str">
        <f t="shared" si="6"/>
        <v>Small (&lt;5k)</v>
      </c>
    </row>
    <row r="380" spans="1:8" x14ac:dyDescent="0.2">
      <c r="A380" s="15" t="s">
        <v>537</v>
      </c>
      <c r="B380" s="16" t="s">
        <v>2</v>
      </c>
      <c r="C380" s="2">
        <v>8547</v>
      </c>
      <c r="D380" s="2">
        <f>TPData[[#This Row],[Annual Contract Value (ACV)]]/12</f>
        <v>712.25</v>
      </c>
      <c r="E380" s="1">
        <v>43617</v>
      </c>
      <c r="F380" s="1">
        <f>EDATE(TPData[[#This Row],[Close Month]],11)</f>
        <v>43952</v>
      </c>
      <c r="G380" s="13" t="s">
        <v>518</v>
      </c>
      <c r="H380" s="4" t="str">
        <f t="shared" si="6"/>
        <v>Medium (&lt;10k)</v>
      </c>
    </row>
    <row r="381" spans="1:8" x14ac:dyDescent="0.2">
      <c r="A381" s="15" t="s">
        <v>532</v>
      </c>
      <c r="B381" s="16" t="s">
        <v>2</v>
      </c>
      <c r="C381" s="2">
        <v>7604</v>
      </c>
      <c r="D381" s="2">
        <f>TPData[[#This Row],[Annual Contract Value (ACV)]]/12</f>
        <v>633.66666666666663</v>
      </c>
      <c r="E381" s="1">
        <v>43556</v>
      </c>
      <c r="F381" s="1">
        <f>EDATE(TPData[[#This Row],[Close Month]],11)</f>
        <v>43891</v>
      </c>
      <c r="G381" s="13" t="s">
        <v>518</v>
      </c>
      <c r="H381" s="4" t="str">
        <f t="shared" si="6"/>
        <v>Medium (&lt;10k)</v>
      </c>
    </row>
    <row r="382" spans="1:8" x14ac:dyDescent="0.2">
      <c r="A382" s="15" t="s">
        <v>533</v>
      </c>
      <c r="B382" s="16" t="s">
        <v>2</v>
      </c>
      <c r="C382" s="2">
        <v>15850</v>
      </c>
      <c r="D382" s="2">
        <f>TPData[[#This Row],[Annual Contract Value (ACV)]]/12</f>
        <v>1320.8333333333333</v>
      </c>
      <c r="E382" s="1">
        <v>43556</v>
      </c>
      <c r="F382" s="1">
        <f>EDATE(TPData[[#This Row],[Close Month]],11)</f>
        <v>43891</v>
      </c>
      <c r="G382" s="13" t="s">
        <v>518</v>
      </c>
      <c r="H382" s="4" t="str">
        <f t="shared" si="6"/>
        <v>Large (&lt;20k)</v>
      </c>
    </row>
    <row r="383" spans="1:8" x14ac:dyDescent="0.2">
      <c r="A383" s="15" t="s">
        <v>113</v>
      </c>
      <c r="B383" s="16" t="s">
        <v>2</v>
      </c>
      <c r="C383" s="2">
        <v>7603.2</v>
      </c>
      <c r="D383" s="2">
        <f>TPData[[#This Row],[Annual Contract Value (ACV)]]/12</f>
        <v>633.6</v>
      </c>
      <c r="E383" s="1">
        <v>43344</v>
      </c>
      <c r="F383" s="1">
        <f>EDATE(TPData[[#This Row],[Close Month]],11)</f>
        <v>43678</v>
      </c>
      <c r="G383" s="13" t="s">
        <v>518</v>
      </c>
      <c r="H383" s="4" t="str">
        <f t="shared" si="6"/>
        <v>Medium (&lt;10k)</v>
      </c>
    </row>
    <row r="384" spans="1:8" x14ac:dyDescent="0.2">
      <c r="A384" s="15" t="s">
        <v>114</v>
      </c>
      <c r="B384" s="16" t="s">
        <v>2</v>
      </c>
      <c r="C384" s="2">
        <v>6360</v>
      </c>
      <c r="D384" s="2">
        <f>TPData[[#This Row],[Annual Contract Value (ACV)]]/12</f>
        <v>530</v>
      </c>
      <c r="E384" s="1">
        <v>43344</v>
      </c>
      <c r="F384" s="1">
        <f>EDATE(TPData[[#This Row],[Close Month]],11)</f>
        <v>43678</v>
      </c>
      <c r="G384" s="13" t="s">
        <v>518</v>
      </c>
      <c r="H384" s="4" t="str">
        <f t="shared" si="6"/>
        <v>Medium (&lt;10k)</v>
      </c>
    </row>
    <row r="385" spans="1:9" x14ac:dyDescent="0.2">
      <c r="A385" s="15" t="s">
        <v>115</v>
      </c>
      <c r="B385" s="16" t="s">
        <v>2</v>
      </c>
      <c r="C385" s="2">
        <v>8236.7999999999993</v>
      </c>
      <c r="D385" s="2">
        <f>TPData[[#This Row],[Annual Contract Value (ACV)]]/12</f>
        <v>686.4</v>
      </c>
      <c r="E385" s="1">
        <v>43344</v>
      </c>
      <c r="F385" s="1">
        <f>EDATE(TPData[[#This Row],[Close Month]],11)</f>
        <v>43678</v>
      </c>
      <c r="G385" s="13" t="s">
        <v>518</v>
      </c>
      <c r="H385" s="4" t="str">
        <f t="shared" si="6"/>
        <v>Medium (&lt;10k)</v>
      </c>
    </row>
    <row r="386" spans="1:9" x14ac:dyDescent="0.2">
      <c r="A386" s="15" t="s">
        <v>116</v>
      </c>
      <c r="B386" s="16" t="s">
        <v>2</v>
      </c>
      <c r="C386" s="2">
        <v>4992</v>
      </c>
      <c r="D386" s="2">
        <f>TPData[[#This Row],[Annual Contract Value (ACV)]]/12</f>
        <v>416</v>
      </c>
      <c r="E386" s="1">
        <v>43344</v>
      </c>
      <c r="F386" s="1">
        <f>EDATE(TPData[[#This Row],[Close Month]],11)</f>
        <v>43678</v>
      </c>
      <c r="G386" s="13" t="s">
        <v>518</v>
      </c>
      <c r="H386" s="4" t="str">
        <f t="shared" ref="H386:H449" si="7">IF(C386&lt;=5000,$J$5,IF((C386&lt;10000),$J$6,IF((C386&lt;20000),$J$7,IF((C386&gt;=20000),$J$8))))</f>
        <v>Small (&lt;5k)</v>
      </c>
    </row>
    <row r="387" spans="1:9" x14ac:dyDescent="0.2">
      <c r="A387" s="15" t="s">
        <v>117</v>
      </c>
      <c r="B387" s="16" t="s">
        <v>2</v>
      </c>
      <c r="C387" s="2">
        <v>1890</v>
      </c>
      <c r="D387" s="2">
        <f>TPData[[#This Row],[Annual Contract Value (ACV)]]/12</f>
        <v>157.5</v>
      </c>
      <c r="E387" s="1">
        <v>43344</v>
      </c>
      <c r="F387" s="1">
        <f>EDATE(TPData[[#This Row],[Close Month]],11)</f>
        <v>43678</v>
      </c>
      <c r="G387" s="13" t="s">
        <v>518</v>
      </c>
      <c r="H387" s="4" t="str">
        <f t="shared" si="7"/>
        <v>Small (&lt;5k)</v>
      </c>
    </row>
    <row r="388" spans="1:9" x14ac:dyDescent="0.2">
      <c r="A388" s="15" t="s">
        <v>118</v>
      </c>
      <c r="B388" s="16" t="s">
        <v>2</v>
      </c>
      <c r="C388" s="2">
        <v>6739.2</v>
      </c>
      <c r="D388" s="2">
        <f>TPData[[#This Row],[Annual Contract Value (ACV)]]/12</f>
        <v>561.6</v>
      </c>
      <c r="E388" s="1">
        <v>43344</v>
      </c>
      <c r="F388" s="1">
        <f>EDATE(TPData[[#This Row],[Close Month]],11)</f>
        <v>43678</v>
      </c>
      <c r="G388" s="13" t="s">
        <v>518</v>
      </c>
      <c r="H388" s="4" t="str">
        <f t="shared" si="7"/>
        <v>Medium (&lt;10k)</v>
      </c>
    </row>
    <row r="389" spans="1:9" x14ac:dyDescent="0.2">
      <c r="A389" s="15" t="s">
        <v>119</v>
      </c>
      <c r="B389" s="16" t="s">
        <v>2</v>
      </c>
      <c r="C389" s="2">
        <v>4620</v>
      </c>
      <c r="D389" s="2">
        <f>TPData[[#This Row],[Annual Contract Value (ACV)]]/12</f>
        <v>385</v>
      </c>
      <c r="E389" s="1">
        <v>43344</v>
      </c>
      <c r="F389" s="1">
        <f>EDATE(TPData[[#This Row],[Close Month]],11)</f>
        <v>43678</v>
      </c>
      <c r="G389" s="13" t="s">
        <v>518</v>
      </c>
      <c r="H389" s="4" t="str">
        <f t="shared" si="7"/>
        <v>Small (&lt;5k)</v>
      </c>
    </row>
    <row r="390" spans="1:9" x14ac:dyDescent="0.2">
      <c r="A390" s="15" t="s">
        <v>120</v>
      </c>
      <c r="B390" s="16" t="s">
        <v>2</v>
      </c>
      <c r="C390" s="2">
        <v>3300.0000000000005</v>
      </c>
      <c r="D390" s="2">
        <f>TPData[[#This Row],[Annual Contract Value (ACV)]]/12</f>
        <v>275.00000000000006</v>
      </c>
      <c r="E390" s="1">
        <v>43374</v>
      </c>
      <c r="F390" s="1">
        <f>EDATE(TPData[[#This Row],[Close Month]],11)</f>
        <v>43709</v>
      </c>
      <c r="G390" s="13" t="s">
        <v>518</v>
      </c>
      <c r="H390" s="4" t="str">
        <f t="shared" si="7"/>
        <v>Small (&lt;5k)</v>
      </c>
      <c r="I390" s="5"/>
    </row>
    <row r="391" spans="1:9" x14ac:dyDescent="0.2">
      <c r="A391" s="15" t="s">
        <v>121</v>
      </c>
      <c r="B391" s="16" t="s">
        <v>2</v>
      </c>
      <c r="C391" s="2">
        <v>6840</v>
      </c>
      <c r="D391" s="2">
        <f>TPData[[#This Row],[Annual Contract Value (ACV)]]/12</f>
        <v>570</v>
      </c>
      <c r="E391" s="1">
        <v>43374</v>
      </c>
      <c r="F391" s="1">
        <f>EDATE(TPData[[#This Row],[Close Month]],11)</f>
        <v>43709</v>
      </c>
      <c r="G391" s="13" t="s">
        <v>518</v>
      </c>
      <c r="H391" s="4" t="str">
        <f t="shared" si="7"/>
        <v>Medium (&lt;10k)</v>
      </c>
      <c r="I391" s="5"/>
    </row>
    <row r="392" spans="1:9" x14ac:dyDescent="0.2">
      <c r="A392" s="15" t="s">
        <v>122</v>
      </c>
      <c r="B392" s="16" t="s">
        <v>2</v>
      </c>
      <c r="C392" s="2">
        <v>3120</v>
      </c>
      <c r="D392" s="2">
        <f>TPData[[#This Row],[Annual Contract Value (ACV)]]/12</f>
        <v>260</v>
      </c>
      <c r="E392" s="1">
        <v>43374</v>
      </c>
      <c r="F392" s="1">
        <f>EDATE(TPData[[#This Row],[Close Month]],11)</f>
        <v>43709</v>
      </c>
      <c r="G392" s="13" t="s">
        <v>518</v>
      </c>
      <c r="H392" s="4" t="str">
        <f t="shared" si="7"/>
        <v>Small (&lt;5k)</v>
      </c>
      <c r="I392" s="5"/>
    </row>
    <row r="393" spans="1:9" x14ac:dyDescent="0.2">
      <c r="A393" s="15" t="s">
        <v>123</v>
      </c>
      <c r="B393" s="16" t="s">
        <v>2</v>
      </c>
      <c r="C393" s="2">
        <v>3816</v>
      </c>
      <c r="D393" s="2">
        <f>TPData[[#This Row],[Annual Contract Value (ACV)]]/12</f>
        <v>318</v>
      </c>
      <c r="E393" s="1">
        <v>43374</v>
      </c>
      <c r="F393" s="1">
        <f>EDATE(TPData[[#This Row],[Close Month]],11)</f>
        <v>43709</v>
      </c>
      <c r="G393" s="13" t="s">
        <v>518</v>
      </c>
      <c r="H393" s="4" t="str">
        <f t="shared" si="7"/>
        <v>Small (&lt;5k)</v>
      </c>
      <c r="I393" s="5"/>
    </row>
    <row r="394" spans="1:9" x14ac:dyDescent="0.2">
      <c r="A394" s="15" t="s">
        <v>124</v>
      </c>
      <c r="B394" s="16" t="s">
        <v>2</v>
      </c>
      <c r="C394" s="2">
        <v>7488</v>
      </c>
      <c r="D394" s="2">
        <f>TPData[[#This Row],[Annual Contract Value (ACV)]]/12</f>
        <v>624</v>
      </c>
      <c r="E394" s="1">
        <v>43374</v>
      </c>
      <c r="F394" s="1">
        <f>EDATE(TPData[[#This Row],[Close Month]],11)</f>
        <v>43709</v>
      </c>
      <c r="G394" s="13" t="s">
        <v>518</v>
      </c>
      <c r="H394" s="4" t="str">
        <f t="shared" si="7"/>
        <v>Medium (&lt;10k)</v>
      </c>
      <c r="I394" s="5"/>
    </row>
    <row r="395" spans="1:9" x14ac:dyDescent="0.2">
      <c r="A395" s="15" t="s">
        <v>125</v>
      </c>
      <c r="B395" s="16" t="s">
        <v>2</v>
      </c>
      <c r="C395" s="2">
        <v>5460</v>
      </c>
      <c r="D395" s="2">
        <f>TPData[[#This Row],[Annual Contract Value (ACV)]]/12</f>
        <v>455</v>
      </c>
      <c r="E395" s="1">
        <v>43374</v>
      </c>
      <c r="F395" s="1">
        <f>EDATE(TPData[[#This Row],[Close Month]],11)</f>
        <v>43709</v>
      </c>
      <c r="G395" s="13" t="s">
        <v>518</v>
      </c>
      <c r="H395" s="4" t="str">
        <f t="shared" si="7"/>
        <v>Medium (&lt;10k)</v>
      </c>
      <c r="I395" s="5"/>
    </row>
    <row r="396" spans="1:9" x14ac:dyDescent="0.2">
      <c r="A396" s="15" t="s">
        <v>126</v>
      </c>
      <c r="B396" s="16" t="s">
        <v>2</v>
      </c>
      <c r="C396" s="2">
        <v>46200.000000000007</v>
      </c>
      <c r="D396" s="2">
        <f>TPData[[#This Row],[Annual Contract Value (ACV)]]/12</f>
        <v>3850.0000000000005</v>
      </c>
      <c r="E396" s="1">
        <v>43374</v>
      </c>
      <c r="F396" s="1">
        <f>EDATE(TPData[[#This Row],[Close Month]],11)</f>
        <v>43709</v>
      </c>
      <c r="G396" s="13" t="s">
        <v>518</v>
      </c>
      <c r="H396" s="4" t="str">
        <f t="shared" si="7"/>
        <v>Mega (20k+)</v>
      </c>
      <c r="I396" s="5"/>
    </row>
    <row r="397" spans="1:9" x14ac:dyDescent="0.2">
      <c r="A397" s="15" t="s">
        <v>127</v>
      </c>
      <c r="B397" s="16" t="s">
        <v>2</v>
      </c>
      <c r="C397" s="2">
        <v>11760</v>
      </c>
      <c r="D397" s="2">
        <f>TPData[[#This Row],[Annual Contract Value (ACV)]]/12</f>
        <v>980</v>
      </c>
      <c r="E397" s="1">
        <v>43405</v>
      </c>
      <c r="F397" s="1">
        <f>EDATE(TPData[[#This Row],[Close Month]],11)</f>
        <v>43739</v>
      </c>
      <c r="G397" s="13" t="s">
        <v>518</v>
      </c>
      <c r="H397" s="4" t="str">
        <f t="shared" si="7"/>
        <v>Large (&lt;20k)</v>
      </c>
      <c r="I397" s="5"/>
    </row>
    <row r="398" spans="1:9" x14ac:dyDescent="0.2">
      <c r="A398" s="15" t="s">
        <v>128</v>
      </c>
      <c r="B398" s="16" t="s">
        <v>2</v>
      </c>
      <c r="C398" s="2">
        <v>6840</v>
      </c>
      <c r="D398" s="2">
        <f>TPData[[#This Row],[Annual Contract Value (ACV)]]/12</f>
        <v>570</v>
      </c>
      <c r="E398" s="1">
        <v>43405</v>
      </c>
      <c r="F398" s="1">
        <f>EDATE(TPData[[#This Row],[Close Month]],11)</f>
        <v>43739</v>
      </c>
      <c r="G398" s="13" t="s">
        <v>518</v>
      </c>
      <c r="H398" s="4" t="str">
        <f t="shared" si="7"/>
        <v>Medium (&lt;10k)</v>
      </c>
      <c r="I398" s="5"/>
    </row>
    <row r="399" spans="1:9" x14ac:dyDescent="0.2">
      <c r="A399" s="15" t="s">
        <v>129</v>
      </c>
      <c r="B399" s="16" t="s">
        <v>2</v>
      </c>
      <c r="C399" s="2">
        <v>6105.6</v>
      </c>
      <c r="D399" s="2">
        <f>TPData[[#This Row],[Annual Contract Value (ACV)]]/12</f>
        <v>508.8</v>
      </c>
      <c r="E399" s="1">
        <v>43405</v>
      </c>
      <c r="F399" s="1">
        <f>EDATE(TPData[[#This Row],[Close Month]],11)</f>
        <v>43739</v>
      </c>
      <c r="G399" s="13" t="s">
        <v>518</v>
      </c>
      <c r="H399" s="4" t="str">
        <f t="shared" si="7"/>
        <v>Medium (&lt;10k)</v>
      </c>
      <c r="I399" s="5"/>
    </row>
    <row r="400" spans="1:9" x14ac:dyDescent="0.2">
      <c r="A400" s="15" t="s">
        <v>130</v>
      </c>
      <c r="B400" s="16" t="s">
        <v>2</v>
      </c>
      <c r="C400" s="2">
        <v>6120</v>
      </c>
      <c r="D400" s="2">
        <f>TPData[[#This Row],[Annual Contract Value (ACV)]]/12</f>
        <v>510</v>
      </c>
      <c r="E400" s="1">
        <v>43405</v>
      </c>
      <c r="F400" s="1">
        <f>EDATE(TPData[[#This Row],[Close Month]],11)</f>
        <v>43739</v>
      </c>
      <c r="G400" s="13" t="s">
        <v>518</v>
      </c>
      <c r="H400" s="4" t="str">
        <f t="shared" si="7"/>
        <v>Medium (&lt;10k)</v>
      </c>
      <c r="I400" s="5"/>
    </row>
    <row r="401" spans="1:9" x14ac:dyDescent="0.2">
      <c r="A401" s="15" t="s">
        <v>131</v>
      </c>
      <c r="B401" s="16" t="s">
        <v>2</v>
      </c>
      <c r="C401" s="2">
        <v>1960.0391999999999</v>
      </c>
      <c r="D401" s="2">
        <f>TPData[[#This Row],[Annual Contract Value (ACV)]]/12</f>
        <v>163.3366</v>
      </c>
      <c r="E401" s="1">
        <v>43405</v>
      </c>
      <c r="F401" s="1">
        <f>EDATE(TPData[[#This Row],[Close Month]],11)</f>
        <v>43739</v>
      </c>
      <c r="G401" s="13" t="s">
        <v>518</v>
      </c>
      <c r="H401" s="4" t="str">
        <f t="shared" si="7"/>
        <v>Small (&lt;5k)</v>
      </c>
      <c r="I401" s="5"/>
    </row>
    <row r="402" spans="1:9" x14ac:dyDescent="0.2">
      <c r="A402" s="15" t="s">
        <v>132</v>
      </c>
      <c r="B402" s="16" t="s">
        <v>2</v>
      </c>
      <c r="C402" s="2">
        <v>6624</v>
      </c>
      <c r="D402" s="2">
        <f>TPData[[#This Row],[Annual Contract Value (ACV)]]/12</f>
        <v>552</v>
      </c>
      <c r="E402" s="1">
        <v>43405</v>
      </c>
      <c r="F402" s="1">
        <f>EDATE(TPData[[#This Row],[Close Month]],11)</f>
        <v>43739</v>
      </c>
      <c r="G402" s="13" t="s">
        <v>518</v>
      </c>
      <c r="H402" s="4" t="str">
        <f t="shared" si="7"/>
        <v>Medium (&lt;10k)</v>
      </c>
      <c r="I402" s="5"/>
    </row>
    <row r="403" spans="1:9" x14ac:dyDescent="0.2">
      <c r="A403" s="15" t="s">
        <v>133</v>
      </c>
      <c r="B403" s="16" t="s">
        <v>2</v>
      </c>
      <c r="C403" s="2">
        <v>11404.8</v>
      </c>
      <c r="D403" s="2">
        <f>TPData[[#This Row],[Annual Contract Value (ACV)]]/12</f>
        <v>950.4</v>
      </c>
      <c r="E403" s="1">
        <v>43405</v>
      </c>
      <c r="F403" s="1">
        <f>EDATE(TPData[[#This Row],[Close Month]],11)</f>
        <v>43739</v>
      </c>
      <c r="G403" s="13" t="s">
        <v>518</v>
      </c>
      <c r="H403" s="4" t="str">
        <f t="shared" si="7"/>
        <v>Large (&lt;20k)</v>
      </c>
      <c r="I403" s="5"/>
    </row>
    <row r="404" spans="1:9" x14ac:dyDescent="0.2">
      <c r="A404" s="15" t="s">
        <v>134</v>
      </c>
      <c r="B404" s="16" t="s">
        <v>2</v>
      </c>
      <c r="C404" s="2">
        <v>3744</v>
      </c>
      <c r="D404" s="2">
        <f>TPData[[#This Row],[Annual Contract Value (ACV)]]/12</f>
        <v>312</v>
      </c>
      <c r="E404" s="1">
        <v>43435</v>
      </c>
      <c r="F404" s="1">
        <f>EDATE(TPData[[#This Row],[Close Month]],11)</f>
        <v>43770</v>
      </c>
      <c r="G404" s="13" t="s">
        <v>518</v>
      </c>
      <c r="H404" s="4" t="str">
        <f t="shared" si="7"/>
        <v>Small (&lt;5k)</v>
      </c>
      <c r="I404" s="5"/>
    </row>
    <row r="405" spans="1:9" x14ac:dyDescent="0.2">
      <c r="A405" s="15" t="s">
        <v>135</v>
      </c>
      <c r="B405" s="16" t="s">
        <v>2</v>
      </c>
      <c r="C405" s="2">
        <v>18144</v>
      </c>
      <c r="D405" s="2">
        <f>TPData[[#This Row],[Annual Contract Value (ACV)]]/12</f>
        <v>1512</v>
      </c>
      <c r="E405" s="1">
        <v>43435</v>
      </c>
      <c r="F405" s="1">
        <f>EDATE(TPData[[#This Row],[Close Month]],11)</f>
        <v>43770</v>
      </c>
      <c r="G405" s="13" t="s">
        <v>518</v>
      </c>
      <c r="H405" s="4" t="str">
        <f t="shared" si="7"/>
        <v>Large (&lt;20k)</v>
      </c>
      <c r="I405" s="5"/>
    </row>
    <row r="406" spans="1:9" x14ac:dyDescent="0.2">
      <c r="A406" s="15" t="s">
        <v>136</v>
      </c>
      <c r="B406" s="16" t="s">
        <v>2</v>
      </c>
      <c r="C406" s="2">
        <v>3210</v>
      </c>
      <c r="D406" s="2">
        <f>TPData[[#This Row],[Annual Contract Value (ACV)]]/12</f>
        <v>267.5</v>
      </c>
      <c r="E406" s="1">
        <v>43435</v>
      </c>
      <c r="F406" s="1">
        <f>EDATE(TPData[[#This Row],[Close Month]],11)</f>
        <v>43770</v>
      </c>
      <c r="G406" s="13" t="s">
        <v>518</v>
      </c>
      <c r="H406" s="4" t="str">
        <f t="shared" si="7"/>
        <v>Small (&lt;5k)</v>
      </c>
      <c r="I406" s="5"/>
    </row>
    <row r="407" spans="1:9" x14ac:dyDescent="0.2">
      <c r="A407" s="15" t="s">
        <v>137</v>
      </c>
      <c r="B407" s="16" t="s">
        <v>2</v>
      </c>
      <c r="C407" s="2">
        <v>23280</v>
      </c>
      <c r="D407" s="2">
        <f>TPData[[#This Row],[Annual Contract Value (ACV)]]/12</f>
        <v>1940</v>
      </c>
      <c r="E407" s="1">
        <v>43435</v>
      </c>
      <c r="F407" s="1">
        <f>EDATE(TPData[[#This Row],[Close Month]],11)</f>
        <v>43770</v>
      </c>
      <c r="G407" s="13" t="s">
        <v>518</v>
      </c>
      <c r="H407" s="4" t="str">
        <f t="shared" si="7"/>
        <v>Mega (20k+)</v>
      </c>
      <c r="I407" s="5"/>
    </row>
    <row r="408" spans="1:9" x14ac:dyDescent="0.2">
      <c r="A408" s="15" t="s">
        <v>138</v>
      </c>
      <c r="B408" s="16" t="s">
        <v>2</v>
      </c>
      <c r="C408" s="2">
        <v>7999.2</v>
      </c>
      <c r="D408" s="2">
        <f>TPData[[#This Row],[Annual Contract Value (ACV)]]/12</f>
        <v>666.6</v>
      </c>
      <c r="E408" s="1">
        <v>43435</v>
      </c>
      <c r="F408" s="1">
        <f>EDATE(TPData[[#This Row],[Close Month]],11)</f>
        <v>43770</v>
      </c>
      <c r="G408" s="13" t="s">
        <v>518</v>
      </c>
      <c r="H408" s="4" t="str">
        <f t="shared" si="7"/>
        <v>Medium (&lt;10k)</v>
      </c>
      <c r="I408" s="5"/>
    </row>
    <row r="409" spans="1:9" x14ac:dyDescent="0.2">
      <c r="A409" s="15" t="s">
        <v>139</v>
      </c>
      <c r="B409" s="16" t="s">
        <v>2</v>
      </c>
      <c r="C409" s="2">
        <v>20000</v>
      </c>
      <c r="D409" s="2">
        <f>TPData[[#This Row],[Annual Contract Value (ACV)]]/12</f>
        <v>1666.6666666666667</v>
      </c>
      <c r="E409" s="1">
        <v>43497</v>
      </c>
      <c r="F409" s="1">
        <f>EDATE(TPData[[#This Row],[Close Month]],11)</f>
        <v>43831</v>
      </c>
      <c r="G409" s="13" t="s">
        <v>518</v>
      </c>
      <c r="H409" s="4" t="str">
        <f t="shared" si="7"/>
        <v>Mega (20k+)</v>
      </c>
      <c r="I409" s="4"/>
    </row>
    <row r="410" spans="1:9" x14ac:dyDescent="0.2">
      <c r="A410" s="15" t="s">
        <v>140</v>
      </c>
      <c r="B410" s="16" t="s">
        <v>2</v>
      </c>
      <c r="C410" s="2">
        <v>10710</v>
      </c>
      <c r="D410" s="2">
        <f>TPData[[#This Row],[Annual Contract Value (ACV)]]/12</f>
        <v>892.5</v>
      </c>
      <c r="E410" s="1">
        <v>43497</v>
      </c>
      <c r="F410" s="1">
        <f>EDATE(TPData[[#This Row],[Close Month]],11)</f>
        <v>43831</v>
      </c>
      <c r="G410" s="13" t="s">
        <v>518</v>
      </c>
      <c r="H410" s="4" t="str">
        <f t="shared" si="7"/>
        <v>Large (&lt;20k)</v>
      </c>
      <c r="I410" s="4"/>
    </row>
    <row r="411" spans="1:9" x14ac:dyDescent="0.2">
      <c r="A411" s="15" t="s">
        <v>141</v>
      </c>
      <c r="B411" s="16" t="s">
        <v>2</v>
      </c>
      <c r="C411" s="2">
        <v>1854</v>
      </c>
      <c r="D411" s="2">
        <f>TPData[[#This Row],[Annual Contract Value (ACV)]]/12</f>
        <v>154.5</v>
      </c>
      <c r="E411" s="1">
        <v>43525</v>
      </c>
      <c r="F411" s="1">
        <f>EDATE(TPData[[#This Row],[Close Month]],11)</f>
        <v>43862</v>
      </c>
      <c r="G411" s="13" t="s">
        <v>518</v>
      </c>
      <c r="H411" s="4" t="str">
        <f t="shared" si="7"/>
        <v>Small (&lt;5k)</v>
      </c>
    </row>
    <row r="412" spans="1:9" x14ac:dyDescent="0.2">
      <c r="A412" s="15" t="s">
        <v>142</v>
      </c>
      <c r="B412" s="16" t="s">
        <v>2</v>
      </c>
      <c r="C412" s="2">
        <v>7632</v>
      </c>
      <c r="D412" s="2">
        <f>TPData[[#This Row],[Annual Contract Value (ACV)]]/12</f>
        <v>636</v>
      </c>
      <c r="E412" s="1">
        <v>43525</v>
      </c>
      <c r="F412" s="1">
        <f>EDATE(TPData[[#This Row],[Close Month]],11)</f>
        <v>43862</v>
      </c>
      <c r="G412" s="13" t="s">
        <v>518</v>
      </c>
      <c r="H412" s="4" t="str">
        <f t="shared" si="7"/>
        <v>Medium (&lt;10k)</v>
      </c>
    </row>
    <row r="413" spans="1:9" x14ac:dyDescent="0.2">
      <c r="A413" s="15" t="s">
        <v>143</v>
      </c>
      <c r="B413" s="16" t="s">
        <v>2</v>
      </c>
      <c r="C413" s="2">
        <v>1365</v>
      </c>
      <c r="D413" s="2">
        <f>TPData[[#This Row],[Annual Contract Value (ACV)]]/12</f>
        <v>113.75</v>
      </c>
      <c r="E413" s="1">
        <v>43525</v>
      </c>
      <c r="F413" s="1">
        <f>EDATE(TPData[[#This Row],[Close Month]],11)</f>
        <v>43862</v>
      </c>
      <c r="G413" s="13" t="s">
        <v>518</v>
      </c>
      <c r="H413" s="4" t="str">
        <f t="shared" si="7"/>
        <v>Small (&lt;5k)</v>
      </c>
    </row>
    <row r="414" spans="1:9" x14ac:dyDescent="0.2">
      <c r="A414" s="15" t="s">
        <v>431</v>
      </c>
      <c r="B414" s="16" t="s">
        <v>2</v>
      </c>
      <c r="C414" s="2">
        <v>2820</v>
      </c>
      <c r="D414" s="2">
        <f>TPData[[#This Row],[Annual Contract Value (ACV)]]/12</f>
        <v>235</v>
      </c>
      <c r="E414" s="1">
        <v>43313</v>
      </c>
      <c r="F414" s="1">
        <f>EDATE(TPData[[#This Row],[Close Month]],11)</f>
        <v>43647</v>
      </c>
      <c r="G414" s="13" t="s">
        <v>519</v>
      </c>
      <c r="H414" s="4" t="str">
        <f t="shared" si="7"/>
        <v>Small (&lt;5k)</v>
      </c>
    </row>
    <row r="415" spans="1:9" x14ac:dyDescent="0.2">
      <c r="A415" s="15" t="s">
        <v>538</v>
      </c>
      <c r="B415" s="16" t="s">
        <v>2</v>
      </c>
      <c r="C415" s="2">
        <v>3520</v>
      </c>
      <c r="D415" s="2">
        <f>TPData[[#This Row],[Annual Contract Value (ACV)]]/12</f>
        <v>293.33333333333331</v>
      </c>
      <c r="E415" s="1">
        <v>43282</v>
      </c>
      <c r="F415" s="1">
        <f>EDATE(TPData[[#This Row],[Close Month]],11)</f>
        <v>43617</v>
      </c>
      <c r="G415" s="13" t="s">
        <v>519</v>
      </c>
      <c r="H415" s="4" t="str">
        <f t="shared" si="7"/>
        <v>Small (&lt;5k)</v>
      </c>
    </row>
    <row r="416" spans="1:9" x14ac:dyDescent="0.2">
      <c r="A416" s="15" t="s">
        <v>432</v>
      </c>
      <c r="B416" s="16" t="s">
        <v>2</v>
      </c>
      <c r="C416" s="2">
        <v>2880</v>
      </c>
      <c r="D416" s="2">
        <f>TPData[[#This Row],[Annual Contract Value (ACV)]]/12</f>
        <v>240</v>
      </c>
      <c r="E416" s="1">
        <v>43344</v>
      </c>
      <c r="F416" s="1">
        <f>EDATE(TPData[[#This Row],[Close Month]],11)</f>
        <v>43678</v>
      </c>
      <c r="G416" s="13" t="s">
        <v>519</v>
      </c>
      <c r="H416" s="4" t="str">
        <f t="shared" si="7"/>
        <v>Small (&lt;5k)</v>
      </c>
    </row>
    <row r="417" spans="1:9" x14ac:dyDescent="0.2">
      <c r="A417" s="15" t="s">
        <v>433</v>
      </c>
      <c r="B417" s="16" t="s">
        <v>2</v>
      </c>
      <c r="C417" s="2">
        <v>5450.0436</v>
      </c>
      <c r="D417" s="2">
        <f>TPData[[#This Row],[Annual Contract Value (ACV)]]/12</f>
        <v>454.1703</v>
      </c>
      <c r="E417" s="1">
        <v>43374</v>
      </c>
      <c r="F417" s="1">
        <f>EDATE(TPData[[#This Row],[Close Month]],11)</f>
        <v>43709</v>
      </c>
      <c r="G417" s="13" t="s">
        <v>519</v>
      </c>
      <c r="H417" s="4" t="str">
        <f t="shared" si="7"/>
        <v>Medium (&lt;10k)</v>
      </c>
      <c r="I417" s="5"/>
    </row>
    <row r="418" spans="1:9" x14ac:dyDescent="0.2">
      <c r="A418" s="15" t="s">
        <v>434</v>
      </c>
      <c r="B418" s="16" t="s">
        <v>2</v>
      </c>
      <c r="C418" s="2">
        <v>588</v>
      </c>
      <c r="D418" s="2">
        <f>TPData[[#This Row],[Annual Contract Value (ACV)]]/12</f>
        <v>49</v>
      </c>
      <c r="E418" s="1">
        <v>43374</v>
      </c>
      <c r="F418" s="1">
        <f>EDATE(TPData[[#This Row],[Close Month]],11)</f>
        <v>43709</v>
      </c>
      <c r="G418" s="13" t="s">
        <v>519</v>
      </c>
      <c r="H418" s="4" t="str">
        <f t="shared" si="7"/>
        <v>Small (&lt;5k)</v>
      </c>
      <c r="I418" s="5"/>
    </row>
    <row r="419" spans="1:9" x14ac:dyDescent="0.2">
      <c r="A419" s="15" t="s">
        <v>435</v>
      </c>
      <c r="B419" s="16" t="s">
        <v>2</v>
      </c>
      <c r="C419" s="2">
        <v>570</v>
      </c>
      <c r="D419" s="2">
        <f>TPData[[#This Row],[Annual Contract Value (ACV)]]/12</f>
        <v>47.5</v>
      </c>
      <c r="E419" s="1">
        <v>43374</v>
      </c>
      <c r="F419" s="1">
        <f>EDATE(TPData[[#This Row],[Close Month]],11)</f>
        <v>43709</v>
      </c>
      <c r="G419" s="13" t="s">
        <v>519</v>
      </c>
      <c r="H419" s="4" t="str">
        <f t="shared" si="7"/>
        <v>Small (&lt;5k)</v>
      </c>
      <c r="I419" s="5"/>
    </row>
    <row r="420" spans="1:9" x14ac:dyDescent="0.2">
      <c r="A420" s="15" t="s">
        <v>436</v>
      </c>
      <c r="B420" s="16" t="s">
        <v>2</v>
      </c>
      <c r="C420" s="2">
        <v>7848.0000000000009</v>
      </c>
      <c r="D420" s="2">
        <f>TPData[[#This Row],[Annual Contract Value (ACV)]]/12</f>
        <v>654.00000000000011</v>
      </c>
      <c r="E420" s="1">
        <v>43374</v>
      </c>
      <c r="F420" s="1">
        <f>EDATE(TPData[[#This Row],[Close Month]],11)</f>
        <v>43709</v>
      </c>
      <c r="G420" s="13" t="s">
        <v>519</v>
      </c>
      <c r="H420" s="4" t="str">
        <f t="shared" si="7"/>
        <v>Medium (&lt;10k)</v>
      </c>
      <c r="I420" s="5"/>
    </row>
    <row r="421" spans="1:9" x14ac:dyDescent="0.2">
      <c r="A421" s="15" t="s">
        <v>437</v>
      </c>
      <c r="B421" s="16" t="s">
        <v>2</v>
      </c>
      <c r="C421" s="2">
        <v>5150.0411999999997</v>
      </c>
      <c r="D421" s="2">
        <f>TPData[[#This Row],[Annual Contract Value (ACV)]]/12</f>
        <v>429.17009999999999</v>
      </c>
      <c r="E421" s="1">
        <v>43405</v>
      </c>
      <c r="F421" s="1">
        <f>EDATE(TPData[[#This Row],[Close Month]],11)</f>
        <v>43739</v>
      </c>
      <c r="G421" s="13" t="s">
        <v>519</v>
      </c>
      <c r="H421" s="4" t="str">
        <f t="shared" si="7"/>
        <v>Medium (&lt;10k)</v>
      </c>
      <c r="I421" s="5"/>
    </row>
    <row r="422" spans="1:9" x14ac:dyDescent="0.2">
      <c r="A422" s="15" t="s">
        <v>438</v>
      </c>
      <c r="B422" s="16" t="s">
        <v>2</v>
      </c>
      <c r="C422" s="2">
        <v>4608</v>
      </c>
      <c r="D422" s="2">
        <f>TPData[[#This Row],[Annual Contract Value (ACV)]]/12</f>
        <v>384</v>
      </c>
      <c r="E422" s="1">
        <v>43405</v>
      </c>
      <c r="F422" s="1">
        <f>EDATE(TPData[[#This Row],[Close Month]],11)</f>
        <v>43739</v>
      </c>
      <c r="G422" s="13" t="s">
        <v>519</v>
      </c>
      <c r="H422" s="4" t="str">
        <f t="shared" si="7"/>
        <v>Small (&lt;5k)</v>
      </c>
      <c r="I422" s="5"/>
    </row>
    <row r="423" spans="1:9" x14ac:dyDescent="0.2">
      <c r="A423" s="15" t="s">
        <v>439</v>
      </c>
      <c r="B423" s="16" t="s">
        <v>2</v>
      </c>
      <c r="C423" s="2">
        <v>3852</v>
      </c>
      <c r="D423" s="2">
        <f>TPData[[#This Row],[Annual Contract Value (ACV)]]/12</f>
        <v>321</v>
      </c>
      <c r="E423" s="1">
        <v>43405</v>
      </c>
      <c r="F423" s="1">
        <f>EDATE(TPData[[#This Row],[Close Month]],11)</f>
        <v>43739</v>
      </c>
      <c r="G423" s="13" t="s">
        <v>519</v>
      </c>
      <c r="H423" s="4" t="str">
        <f t="shared" si="7"/>
        <v>Small (&lt;5k)</v>
      </c>
      <c r="I423" s="5"/>
    </row>
    <row r="424" spans="1:9" x14ac:dyDescent="0.2">
      <c r="A424" s="15" t="s">
        <v>440</v>
      </c>
      <c r="B424" s="16" t="s">
        <v>2</v>
      </c>
      <c r="C424" s="2">
        <v>1911</v>
      </c>
      <c r="D424" s="2">
        <f>TPData[[#This Row],[Annual Contract Value (ACV)]]/12</f>
        <v>159.25</v>
      </c>
      <c r="E424" s="1">
        <v>43435</v>
      </c>
      <c r="F424" s="1">
        <f>EDATE(TPData[[#This Row],[Close Month]],11)</f>
        <v>43770</v>
      </c>
      <c r="G424" s="13" t="s">
        <v>519</v>
      </c>
      <c r="H424" s="4" t="str">
        <f t="shared" si="7"/>
        <v>Small (&lt;5k)</v>
      </c>
      <c r="I424" s="5"/>
    </row>
    <row r="425" spans="1:9" x14ac:dyDescent="0.2">
      <c r="A425" s="15" t="s">
        <v>441</v>
      </c>
      <c r="B425" s="16" t="s">
        <v>2</v>
      </c>
      <c r="C425" s="2">
        <v>7020.0432000000001</v>
      </c>
      <c r="D425" s="2">
        <f>TPData[[#This Row],[Annual Contract Value (ACV)]]/12</f>
        <v>585.00360000000001</v>
      </c>
      <c r="E425" s="1">
        <v>43435</v>
      </c>
      <c r="F425" s="1">
        <f>EDATE(TPData[[#This Row],[Close Month]],11)</f>
        <v>43770</v>
      </c>
      <c r="G425" s="13" t="s">
        <v>519</v>
      </c>
      <c r="H425" s="4" t="str">
        <f t="shared" si="7"/>
        <v>Medium (&lt;10k)</v>
      </c>
      <c r="I425" s="5"/>
    </row>
    <row r="426" spans="1:9" x14ac:dyDescent="0.2">
      <c r="A426" s="15" t="s">
        <v>442</v>
      </c>
      <c r="B426" s="16" t="s">
        <v>2</v>
      </c>
      <c r="C426" s="2">
        <v>1092</v>
      </c>
      <c r="D426" s="2">
        <f>TPData[[#This Row],[Annual Contract Value (ACV)]]/12</f>
        <v>91</v>
      </c>
      <c r="E426" s="1">
        <v>43435</v>
      </c>
      <c r="F426" s="1">
        <f>EDATE(TPData[[#This Row],[Close Month]],11)</f>
        <v>43770</v>
      </c>
      <c r="G426" s="13" t="s">
        <v>519</v>
      </c>
      <c r="H426" s="4" t="str">
        <f t="shared" si="7"/>
        <v>Small (&lt;5k)</v>
      </c>
      <c r="I426" s="5"/>
    </row>
    <row r="427" spans="1:9" x14ac:dyDescent="0.2">
      <c r="A427" s="15" t="s">
        <v>443</v>
      </c>
      <c r="B427" s="16" t="s">
        <v>2</v>
      </c>
      <c r="C427" s="2">
        <v>1365</v>
      </c>
      <c r="D427" s="2">
        <f>TPData[[#This Row],[Annual Contract Value (ACV)]]/12</f>
        <v>113.75</v>
      </c>
      <c r="E427" s="1">
        <v>43435</v>
      </c>
      <c r="F427" s="1">
        <f>EDATE(TPData[[#This Row],[Close Month]],11)</f>
        <v>43770</v>
      </c>
      <c r="G427" s="13" t="s">
        <v>519</v>
      </c>
      <c r="H427" s="4" t="str">
        <f t="shared" si="7"/>
        <v>Small (&lt;5k)</v>
      </c>
      <c r="I427" s="5"/>
    </row>
    <row r="428" spans="1:9" x14ac:dyDescent="0.2">
      <c r="A428" s="15" t="s">
        <v>444</v>
      </c>
      <c r="B428" s="16" t="s">
        <v>2</v>
      </c>
      <c r="C428" s="2">
        <v>12960</v>
      </c>
      <c r="D428" s="2">
        <f>TPData[[#This Row],[Annual Contract Value (ACV)]]/12</f>
        <v>1080</v>
      </c>
      <c r="E428" s="1">
        <v>43435</v>
      </c>
      <c r="F428" s="1">
        <f>EDATE(TPData[[#This Row],[Close Month]],11)</f>
        <v>43770</v>
      </c>
      <c r="G428" s="13" t="s">
        <v>519</v>
      </c>
      <c r="H428" s="4" t="str">
        <f t="shared" si="7"/>
        <v>Large (&lt;20k)</v>
      </c>
      <c r="I428" s="5"/>
    </row>
    <row r="429" spans="1:9" x14ac:dyDescent="0.2">
      <c r="A429" s="15" t="s">
        <v>445</v>
      </c>
      <c r="B429" s="16" t="s">
        <v>2</v>
      </c>
      <c r="C429" s="2">
        <v>13080.000000000002</v>
      </c>
      <c r="D429" s="2">
        <f>TPData[[#This Row],[Annual Contract Value (ACV)]]/12</f>
        <v>1090.0000000000002</v>
      </c>
      <c r="E429" s="1">
        <v>43466</v>
      </c>
      <c r="F429" s="1">
        <f>EDATE(TPData[[#This Row],[Close Month]],11)</f>
        <v>43800</v>
      </c>
      <c r="G429" s="13" t="s">
        <v>519</v>
      </c>
      <c r="H429" s="4" t="str">
        <f t="shared" si="7"/>
        <v>Large (&lt;20k)</v>
      </c>
    </row>
    <row r="430" spans="1:9" x14ac:dyDescent="0.2">
      <c r="A430" s="15" t="s">
        <v>446</v>
      </c>
      <c r="B430" s="16" t="s">
        <v>2</v>
      </c>
      <c r="C430" s="2">
        <v>6120</v>
      </c>
      <c r="D430" s="2">
        <f>TPData[[#This Row],[Annual Contract Value (ACV)]]/12</f>
        <v>510</v>
      </c>
      <c r="E430" s="1">
        <v>43497</v>
      </c>
      <c r="F430" s="1">
        <f>EDATE(TPData[[#This Row],[Close Month]],11)</f>
        <v>43831</v>
      </c>
      <c r="G430" s="13" t="s">
        <v>519</v>
      </c>
      <c r="H430" s="4" t="str">
        <f t="shared" si="7"/>
        <v>Medium (&lt;10k)</v>
      </c>
      <c r="I430" s="4"/>
    </row>
    <row r="431" spans="1:9" x14ac:dyDescent="0.2">
      <c r="A431" s="15" t="s">
        <v>447</v>
      </c>
      <c r="B431" s="16" t="s">
        <v>2</v>
      </c>
      <c r="C431" s="2">
        <v>5562</v>
      </c>
      <c r="D431" s="2">
        <f>TPData[[#This Row],[Annual Contract Value (ACV)]]/12</f>
        <v>463.5</v>
      </c>
      <c r="E431" s="1">
        <v>43497</v>
      </c>
      <c r="F431" s="1">
        <f>EDATE(TPData[[#This Row],[Close Month]],11)</f>
        <v>43831</v>
      </c>
      <c r="G431" s="13" t="s">
        <v>519</v>
      </c>
      <c r="H431" s="4" t="str">
        <f t="shared" si="7"/>
        <v>Medium (&lt;10k)</v>
      </c>
      <c r="I431" s="4"/>
    </row>
    <row r="432" spans="1:9" x14ac:dyDescent="0.2">
      <c r="A432" s="15" t="s">
        <v>448</v>
      </c>
      <c r="B432" s="16" t="s">
        <v>2</v>
      </c>
      <c r="C432" s="2">
        <v>5250.0420000000004</v>
      </c>
      <c r="D432" s="2">
        <f>TPData[[#This Row],[Annual Contract Value (ACV)]]/12</f>
        <v>437.50350000000003</v>
      </c>
      <c r="E432" s="1">
        <v>43497</v>
      </c>
      <c r="F432" s="1">
        <f>EDATE(TPData[[#This Row],[Close Month]],11)</f>
        <v>43831</v>
      </c>
      <c r="G432" s="13" t="s">
        <v>519</v>
      </c>
      <c r="H432" s="4" t="str">
        <f t="shared" si="7"/>
        <v>Medium (&lt;10k)</v>
      </c>
      <c r="I432" s="4"/>
    </row>
    <row r="433" spans="1:9" x14ac:dyDescent="0.2">
      <c r="A433" s="15" t="s">
        <v>449</v>
      </c>
      <c r="B433" s="16" t="s">
        <v>2</v>
      </c>
      <c r="C433" s="2">
        <v>7425</v>
      </c>
      <c r="D433" s="2">
        <f>TPData[[#This Row],[Annual Contract Value (ACV)]]/12</f>
        <v>618.75</v>
      </c>
      <c r="E433" s="1">
        <v>43497</v>
      </c>
      <c r="F433" s="1">
        <f>EDATE(TPData[[#This Row],[Close Month]],11)</f>
        <v>43831</v>
      </c>
      <c r="G433" s="13" t="s">
        <v>519</v>
      </c>
      <c r="H433" s="4" t="str">
        <f t="shared" si="7"/>
        <v>Medium (&lt;10k)</v>
      </c>
      <c r="I433" s="4"/>
    </row>
    <row r="434" spans="1:9" x14ac:dyDescent="0.2">
      <c r="A434" s="15" t="s">
        <v>450</v>
      </c>
      <c r="B434" s="16" t="s">
        <v>2</v>
      </c>
      <c r="C434" s="2">
        <v>7980</v>
      </c>
      <c r="D434" s="2">
        <f>TPData[[#This Row],[Annual Contract Value (ACV)]]/12</f>
        <v>665</v>
      </c>
      <c r="E434" s="1">
        <v>43497</v>
      </c>
      <c r="F434" s="1">
        <f>EDATE(TPData[[#This Row],[Close Month]],11)</f>
        <v>43831</v>
      </c>
      <c r="G434" s="13" t="s">
        <v>519</v>
      </c>
      <c r="H434" s="4" t="str">
        <f t="shared" si="7"/>
        <v>Medium (&lt;10k)</v>
      </c>
      <c r="I434" s="4"/>
    </row>
    <row r="435" spans="1:9" x14ac:dyDescent="0.2">
      <c r="A435" s="15" t="s">
        <v>451</v>
      </c>
      <c r="B435" s="16" t="s">
        <v>2</v>
      </c>
      <c r="C435" s="2">
        <v>1116</v>
      </c>
      <c r="D435" s="2">
        <f>TPData[[#This Row],[Annual Contract Value (ACV)]]/12</f>
        <v>93</v>
      </c>
      <c r="E435" s="1">
        <v>43525</v>
      </c>
      <c r="F435" s="1">
        <f>EDATE(TPData[[#This Row],[Close Month]],11)</f>
        <v>43862</v>
      </c>
      <c r="G435" s="13" t="s">
        <v>519</v>
      </c>
      <c r="H435" s="4" t="str">
        <f t="shared" si="7"/>
        <v>Small (&lt;5k)</v>
      </c>
    </row>
    <row r="436" spans="1:9" x14ac:dyDescent="0.2">
      <c r="A436" s="15" t="s">
        <v>452</v>
      </c>
      <c r="B436" s="16" t="s">
        <v>2</v>
      </c>
      <c r="C436" s="2">
        <v>1944.0000000000002</v>
      </c>
      <c r="D436" s="2">
        <f>TPData[[#This Row],[Annual Contract Value (ACV)]]/12</f>
        <v>162.00000000000003</v>
      </c>
      <c r="E436" s="1">
        <v>43525</v>
      </c>
      <c r="F436" s="1">
        <f>EDATE(TPData[[#This Row],[Close Month]],11)</f>
        <v>43862</v>
      </c>
      <c r="G436" s="13" t="s">
        <v>519</v>
      </c>
      <c r="H436" s="4" t="str">
        <f t="shared" si="7"/>
        <v>Small (&lt;5k)</v>
      </c>
    </row>
    <row r="437" spans="1:9" x14ac:dyDescent="0.2">
      <c r="A437" s="15" t="s">
        <v>453</v>
      </c>
      <c r="B437" s="16" t="s">
        <v>2</v>
      </c>
      <c r="C437" s="2">
        <v>3990</v>
      </c>
      <c r="D437" s="2">
        <f>TPData[[#This Row],[Annual Contract Value (ACV)]]/12</f>
        <v>332.5</v>
      </c>
      <c r="E437" s="1">
        <v>43525</v>
      </c>
      <c r="F437" s="1">
        <f>EDATE(TPData[[#This Row],[Close Month]],11)</f>
        <v>43862</v>
      </c>
      <c r="G437" s="13" t="s">
        <v>519</v>
      </c>
      <c r="H437" s="4" t="str">
        <f t="shared" si="7"/>
        <v>Small (&lt;5k)</v>
      </c>
    </row>
    <row r="438" spans="1:9" x14ac:dyDescent="0.2">
      <c r="A438" s="15" t="s">
        <v>454</v>
      </c>
      <c r="B438" s="16" t="s">
        <v>2</v>
      </c>
      <c r="C438" s="2">
        <v>2910</v>
      </c>
      <c r="D438" s="2">
        <f>TPData[[#This Row],[Annual Contract Value (ACV)]]/12</f>
        <v>242.5</v>
      </c>
      <c r="E438" s="1">
        <v>43525</v>
      </c>
      <c r="F438" s="1">
        <f>EDATE(TPData[[#This Row],[Close Month]],11)</f>
        <v>43862</v>
      </c>
      <c r="G438" s="13" t="s">
        <v>519</v>
      </c>
      <c r="H438" s="4" t="str">
        <f t="shared" si="7"/>
        <v>Small (&lt;5k)</v>
      </c>
    </row>
    <row r="439" spans="1:9" x14ac:dyDescent="0.2">
      <c r="A439" s="15" t="s">
        <v>455</v>
      </c>
      <c r="B439" s="16" t="s">
        <v>2</v>
      </c>
      <c r="C439" s="2">
        <v>3270.0000000000005</v>
      </c>
      <c r="D439" s="2">
        <f>TPData[[#This Row],[Annual Contract Value (ACV)]]/12</f>
        <v>272.50000000000006</v>
      </c>
      <c r="E439" s="1">
        <v>43525</v>
      </c>
      <c r="F439" s="1">
        <f>EDATE(TPData[[#This Row],[Close Month]],11)</f>
        <v>43862</v>
      </c>
      <c r="G439" s="13" t="s">
        <v>519</v>
      </c>
      <c r="H439" s="4" t="str">
        <f t="shared" si="7"/>
        <v>Small (&lt;5k)</v>
      </c>
    </row>
    <row r="440" spans="1:9" x14ac:dyDescent="0.2">
      <c r="A440" s="15" t="s">
        <v>456</v>
      </c>
      <c r="B440" s="16" t="s">
        <v>2</v>
      </c>
      <c r="C440" s="2">
        <v>7896</v>
      </c>
      <c r="D440" s="2">
        <f>TPData[[#This Row],[Annual Contract Value (ACV)]]/12</f>
        <v>658</v>
      </c>
      <c r="E440" s="1">
        <v>43556</v>
      </c>
      <c r="F440" s="1">
        <f>EDATE(TPData[[#This Row],[Close Month]],11)</f>
        <v>43891</v>
      </c>
      <c r="G440" s="13" t="s">
        <v>519</v>
      </c>
      <c r="H440" s="4" t="str">
        <f t="shared" si="7"/>
        <v>Medium (&lt;10k)</v>
      </c>
    </row>
    <row r="441" spans="1:9" x14ac:dyDescent="0.2">
      <c r="A441" s="15" t="s">
        <v>457</v>
      </c>
      <c r="B441" s="16" t="s">
        <v>2</v>
      </c>
      <c r="C441" s="2">
        <v>5623.8</v>
      </c>
      <c r="D441" s="2">
        <f>TPData[[#This Row],[Annual Contract Value (ACV)]]/12</f>
        <v>468.65000000000003</v>
      </c>
      <c r="E441" s="1">
        <v>43556</v>
      </c>
      <c r="F441" s="1">
        <f>EDATE(TPData[[#This Row],[Close Month]],11)</f>
        <v>43891</v>
      </c>
      <c r="G441" s="13" t="s">
        <v>519</v>
      </c>
      <c r="H441" s="4" t="str">
        <f t="shared" si="7"/>
        <v>Medium (&lt;10k)</v>
      </c>
    </row>
    <row r="442" spans="1:9" x14ac:dyDescent="0.2">
      <c r="A442" s="15" t="s">
        <v>458</v>
      </c>
      <c r="B442" s="16" t="s">
        <v>2</v>
      </c>
      <c r="C442" s="2">
        <v>2328</v>
      </c>
      <c r="D442" s="2">
        <f>TPData[[#This Row],[Annual Contract Value (ACV)]]/12</f>
        <v>194</v>
      </c>
      <c r="E442" s="1">
        <v>43556</v>
      </c>
      <c r="F442" s="1">
        <f>EDATE(TPData[[#This Row],[Close Month]],11)</f>
        <v>43891</v>
      </c>
      <c r="G442" s="13" t="s">
        <v>519</v>
      </c>
      <c r="H442" s="4" t="str">
        <f t="shared" si="7"/>
        <v>Small (&lt;5k)</v>
      </c>
    </row>
    <row r="443" spans="1:9" x14ac:dyDescent="0.2">
      <c r="A443" s="15" t="s">
        <v>459</v>
      </c>
      <c r="B443" s="16" t="s">
        <v>2</v>
      </c>
      <c r="C443" s="2">
        <v>1425</v>
      </c>
      <c r="D443" s="2">
        <f>TPData[[#This Row],[Annual Contract Value (ACV)]]/12</f>
        <v>118.75</v>
      </c>
      <c r="E443" s="1">
        <v>43586</v>
      </c>
      <c r="F443" s="1">
        <f>EDATE(TPData[[#This Row],[Close Month]],11)</f>
        <v>43922</v>
      </c>
      <c r="G443" s="13" t="s">
        <v>519</v>
      </c>
      <c r="H443" s="4" t="str">
        <f t="shared" si="7"/>
        <v>Small (&lt;5k)</v>
      </c>
      <c r="I443" s="4"/>
    </row>
    <row r="444" spans="1:9" x14ac:dyDescent="0.2">
      <c r="A444" s="15" t="s">
        <v>460</v>
      </c>
      <c r="B444" s="16" t="s">
        <v>2</v>
      </c>
      <c r="C444" s="2">
        <v>2160</v>
      </c>
      <c r="D444" s="2">
        <f>TPData[[#This Row],[Annual Contract Value (ACV)]]/12</f>
        <v>180</v>
      </c>
      <c r="E444" s="1">
        <v>43586</v>
      </c>
      <c r="F444" s="1">
        <f>EDATE(TPData[[#This Row],[Close Month]],11)</f>
        <v>43922</v>
      </c>
      <c r="G444" s="13" t="s">
        <v>519</v>
      </c>
      <c r="H444" s="4" t="str">
        <f t="shared" si="7"/>
        <v>Small (&lt;5k)</v>
      </c>
      <c r="I444" s="4"/>
    </row>
    <row r="445" spans="1:9" x14ac:dyDescent="0.2">
      <c r="A445" s="15" t="s">
        <v>461</v>
      </c>
      <c r="B445" s="16" t="s">
        <v>2</v>
      </c>
      <c r="C445" s="2">
        <v>3300.0000000000005</v>
      </c>
      <c r="D445" s="2">
        <f>TPData[[#This Row],[Annual Contract Value (ACV)]]/12</f>
        <v>275.00000000000006</v>
      </c>
      <c r="E445" s="1">
        <v>43617</v>
      </c>
      <c r="F445" s="1">
        <f>EDATE(TPData[[#This Row],[Close Month]],11)</f>
        <v>43952</v>
      </c>
      <c r="G445" s="13" t="s">
        <v>519</v>
      </c>
      <c r="H445" s="4" t="str">
        <f t="shared" si="7"/>
        <v>Small (&lt;5k)</v>
      </c>
      <c r="I445" s="4"/>
    </row>
    <row r="446" spans="1:9" x14ac:dyDescent="0.2">
      <c r="A446" s="15" t="s">
        <v>462</v>
      </c>
      <c r="B446" s="16" t="s">
        <v>2</v>
      </c>
      <c r="C446" s="2">
        <v>7811.9999999999991</v>
      </c>
      <c r="D446" s="2">
        <f>TPData[[#This Row],[Annual Contract Value (ACV)]]/12</f>
        <v>650.99999999999989</v>
      </c>
      <c r="E446" s="1">
        <v>43617</v>
      </c>
      <c r="F446" s="1">
        <f>EDATE(TPData[[#This Row],[Close Month]],11)</f>
        <v>43952</v>
      </c>
      <c r="G446" s="13" t="s">
        <v>519</v>
      </c>
      <c r="H446" s="4" t="str">
        <f t="shared" si="7"/>
        <v>Medium (&lt;10k)</v>
      </c>
      <c r="I446" s="4"/>
    </row>
    <row r="447" spans="1:9" x14ac:dyDescent="0.2">
      <c r="A447" s="15" t="s">
        <v>463</v>
      </c>
      <c r="B447" s="16" t="s">
        <v>2</v>
      </c>
      <c r="C447" s="2">
        <v>4752</v>
      </c>
      <c r="D447" s="2">
        <f>TPData[[#This Row],[Annual Contract Value (ACV)]]/12</f>
        <v>396</v>
      </c>
      <c r="E447" s="1">
        <v>43617</v>
      </c>
      <c r="F447" s="1">
        <f>EDATE(TPData[[#This Row],[Close Month]],11)</f>
        <v>43952</v>
      </c>
      <c r="G447" s="13" t="s">
        <v>519</v>
      </c>
      <c r="H447" s="4" t="str">
        <f t="shared" si="7"/>
        <v>Small (&lt;5k)</v>
      </c>
      <c r="I447" s="4"/>
    </row>
    <row r="448" spans="1:9" x14ac:dyDescent="0.2">
      <c r="A448" s="15" t="s">
        <v>329</v>
      </c>
      <c r="B448" s="16" t="s">
        <v>2</v>
      </c>
      <c r="C448" s="2">
        <v>2640</v>
      </c>
      <c r="D448" s="2">
        <f>TPData[[#This Row],[Annual Contract Value (ACV)]]/12</f>
        <v>220</v>
      </c>
      <c r="E448" s="1">
        <v>43282</v>
      </c>
      <c r="F448" s="1">
        <f>EDATE(TPData[[#This Row],[Close Month]],11)</f>
        <v>43617</v>
      </c>
      <c r="G448" s="13" t="s">
        <v>520</v>
      </c>
      <c r="H448" s="4" t="str">
        <f t="shared" si="7"/>
        <v>Small (&lt;5k)</v>
      </c>
    </row>
    <row r="449" spans="1:9" x14ac:dyDescent="0.2">
      <c r="A449" s="15" t="s">
        <v>330</v>
      </c>
      <c r="B449" s="16" t="s">
        <v>2</v>
      </c>
      <c r="C449" s="2">
        <v>17500</v>
      </c>
      <c r="D449" s="2">
        <f>TPData[[#This Row],[Annual Contract Value (ACV)]]/12</f>
        <v>1458.3333333333333</v>
      </c>
      <c r="E449" s="1">
        <v>43282</v>
      </c>
      <c r="F449" s="1">
        <f>EDATE(TPData[[#This Row],[Close Month]],11)</f>
        <v>43617</v>
      </c>
      <c r="G449" s="13" t="s">
        <v>520</v>
      </c>
      <c r="H449" s="4" t="str">
        <f t="shared" si="7"/>
        <v>Large (&lt;20k)</v>
      </c>
    </row>
    <row r="450" spans="1:9" x14ac:dyDescent="0.2">
      <c r="A450" s="15" t="s">
        <v>331</v>
      </c>
      <c r="B450" s="16" t="s">
        <v>2</v>
      </c>
      <c r="C450" s="2">
        <v>2730</v>
      </c>
      <c r="D450" s="2">
        <f>TPData[[#This Row],[Annual Contract Value (ACV)]]/12</f>
        <v>227.5</v>
      </c>
      <c r="E450" s="1">
        <v>43313</v>
      </c>
      <c r="F450" s="1">
        <f>EDATE(TPData[[#This Row],[Close Month]],11)</f>
        <v>43647</v>
      </c>
      <c r="G450" s="13" t="s">
        <v>520</v>
      </c>
      <c r="H450" s="4" t="str">
        <f t="shared" ref="H450:H513" si="8">IF(C450&lt;=5000,$J$5,IF((C450&lt;10000),$J$6,IF((C450&lt;20000),$J$7,IF((C450&gt;=20000),$J$8))))</f>
        <v>Small (&lt;5k)</v>
      </c>
    </row>
    <row r="451" spans="1:9" x14ac:dyDescent="0.2">
      <c r="A451" s="15" t="s">
        <v>332</v>
      </c>
      <c r="B451" s="16" t="s">
        <v>2</v>
      </c>
      <c r="C451" s="2">
        <v>3000</v>
      </c>
      <c r="D451" s="2">
        <f>TPData[[#This Row],[Annual Contract Value (ACV)]]/12</f>
        <v>250</v>
      </c>
      <c r="E451" s="1">
        <v>43313</v>
      </c>
      <c r="F451" s="1">
        <f>EDATE(TPData[[#This Row],[Close Month]],11)</f>
        <v>43647</v>
      </c>
      <c r="G451" s="13" t="s">
        <v>520</v>
      </c>
      <c r="H451" s="4" t="str">
        <f t="shared" si="8"/>
        <v>Small (&lt;5k)</v>
      </c>
    </row>
    <row r="452" spans="1:9" x14ac:dyDescent="0.2">
      <c r="A452" s="15" t="s">
        <v>333</v>
      </c>
      <c r="B452" s="16" t="s">
        <v>2</v>
      </c>
      <c r="C452" s="2">
        <v>2592</v>
      </c>
      <c r="D452" s="2">
        <f>TPData[[#This Row],[Annual Contract Value (ACV)]]/12</f>
        <v>216</v>
      </c>
      <c r="E452" s="1">
        <v>43313</v>
      </c>
      <c r="F452" s="1">
        <f>EDATE(TPData[[#This Row],[Close Month]],11)</f>
        <v>43647</v>
      </c>
      <c r="G452" s="13" t="s">
        <v>520</v>
      </c>
      <c r="H452" s="4" t="str">
        <f t="shared" si="8"/>
        <v>Small (&lt;5k)</v>
      </c>
    </row>
    <row r="453" spans="1:9" x14ac:dyDescent="0.2">
      <c r="A453" s="15" t="s">
        <v>334</v>
      </c>
      <c r="B453" s="16" t="s">
        <v>2</v>
      </c>
      <c r="C453" s="2">
        <v>1365</v>
      </c>
      <c r="D453" s="2">
        <f>TPData[[#This Row],[Annual Contract Value (ACV)]]/12</f>
        <v>113.75</v>
      </c>
      <c r="E453" s="1">
        <v>43313</v>
      </c>
      <c r="F453" s="1">
        <f>EDATE(TPData[[#This Row],[Close Month]],11)</f>
        <v>43647</v>
      </c>
      <c r="G453" s="13" t="s">
        <v>520</v>
      </c>
      <c r="H453" s="4" t="str">
        <f t="shared" si="8"/>
        <v>Small (&lt;5k)</v>
      </c>
    </row>
    <row r="454" spans="1:9" x14ac:dyDescent="0.2">
      <c r="A454" s="15" t="s">
        <v>335</v>
      </c>
      <c r="B454" s="16" t="s">
        <v>2</v>
      </c>
      <c r="C454" s="2">
        <v>3528</v>
      </c>
      <c r="D454" s="2">
        <f>TPData[[#This Row],[Annual Contract Value (ACV)]]/12</f>
        <v>294</v>
      </c>
      <c r="E454" s="1">
        <v>43313</v>
      </c>
      <c r="F454" s="1">
        <f>EDATE(TPData[[#This Row],[Close Month]],11)</f>
        <v>43647</v>
      </c>
      <c r="G454" s="13" t="s">
        <v>520</v>
      </c>
      <c r="H454" s="4" t="str">
        <f t="shared" si="8"/>
        <v>Small (&lt;5k)</v>
      </c>
    </row>
    <row r="455" spans="1:9" x14ac:dyDescent="0.2">
      <c r="A455" s="15" t="s">
        <v>336</v>
      </c>
      <c r="B455" s="16" t="s">
        <v>2</v>
      </c>
      <c r="C455" s="2">
        <v>1890</v>
      </c>
      <c r="D455" s="2">
        <f>TPData[[#This Row],[Annual Contract Value (ACV)]]/12</f>
        <v>157.5</v>
      </c>
      <c r="E455" s="1">
        <v>43344</v>
      </c>
      <c r="F455" s="1">
        <f>EDATE(TPData[[#This Row],[Close Month]],11)</f>
        <v>43678</v>
      </c>
      <c r="G455" s="13" t="s">
        <v>520</v>
      </c>
      <c r="H455" s="4" t="str">
        <f t="shared" si="8"/>
        <v>Small (&lt;5k)</v>
      </c>
    </row>
    <row r="456" spans="1:9" x14ac:dyDescent="0.2">
      <c r="A456" s="15" t="s">
        <v>337</v>
      </c>
      <c r="B456" s="16" t="s">
        <v>2</v>
      </c>
      <c r="C456" s="2">
        <v>17100</v>
      </c>
      <c r="D456" s="2">
        <f>TPData[[#This Row],[Annual Contract Value (ACV)]]/12</f>
        <v>1425</v>
      </c>
      <c r="E456" s="1">
        <v>43374</v>
      </c>
      <c r="F456" s="1">
        <f>EDATE(TPData[[#This Row],[Close Month]],11)</f>
        <v>43709</v>
      </c>
      <c r="G456" s="13" t="s">
        <v>520</v>
      </c>
      <c r="H456" s="4" t="str">
        <f t="shared" si="8"/>
        <v>Large (&lt;20k)</v>
      </c>
      <c r="I456" s="5"/>
    </row>
    <row r="457" spans="1:9" x14ac:dyDescent="0.2">
      <c r="A457" s="15" t="s">
        <v>338</v>
      </c>
      <c r="B457" s="16" t="s">
        <v>2</v>
      </c>
      <c r="C457" s="2">
        <v>6240</v>
      </c>
      <c r="D457" s="2">
        <f>TPData[[#This Row],[Annual Contract Value (ACV)]]/12</f>
        <v>520</v>
      </c>
      <c r="E457" s="1">
        <v>43374</v>
      </c>
      <c r="F457" s="1">
        <f>EDATE(TPData[[#This Row],[Close Month]],11)</f>
        <v>43709</v>
      </c>
      <c r="G457" s="13" t="s">
        <v>520</v>
      </c>
      <c r="H457" s="4" t="str">
        <f t="shared" si="8"/>
        <v>Medium (&lt;10k)</v>
      </c>
      <c r="I457" s="5"/>
    </row>
    <row r="458" spans="1:9" x14ac:dyDescent="0.2">
      <c r="A458" s="15" t="s">
        <v>339</v>
      </c>
      <c r="B458" s="16" t="s">
        <v>2</v>
      </c>
      <c r="C458" s="2">
        <v>1530</v>
      </c>
      <c r="D458" s="2">
        <f>TPData[[#This Row],[Annual Contract Value (ACV)]]/12</f>
        <v>127.5</v>
      </c>
      <c r="E458" s="1">
        <v>43374</v>
      </c>
      <c r="F458" s="1">
        <f>EDATE(TPData[[#This Row],[Close Month]],11)</f>
        <v>43709</v>
      </c>
      <c r="G458" s="13" t="s">
        <v>520</v>
      </c>
      <c r="H458" s="4" t="str">
        <f t="shared" si="8"/>
        <v>Small (&lt;5k)</v>
      </c>
      <c r="I458" s="5"/>
    </row>
    <row r="459" spans="1:9" x14ac:dyDescent="0.2">
      <c r="A459" s="15" t="s">
        <v>340</v>
      </c>
      <c r="B459" s="16" t="s">
        <v>2</v>
      </c>
      <c r="C459" s="2">
        <v>7344</v>
      </c>
      <c r="D459" s="2">
        <f>TPData[[#This Row],[Annual Contract Value (ACV)]]/12</f>
        <v>612</v>
      </c>
      <c r="E459" s="1">
        <v>43374</v>
      </c>
      <c r="F459" s="1">
        <f>EDATE(TPData[[#This Row],[Close Month]],11)</f>
        <v>43709</v>
      </c>
      <c r="G459" s="13" t="s">
        <v>520</v>
      </c>
      <c r="H459" s="4" t="str">
        <f t="shared" si="8"/>
        <v>Medium (&lt;10k)</v>
      </c>
      <c r="I459" s="5"/>
    </row>
    <row r="460" spans="1:9" x14ac:dyDescent="0.2">
      <c r="A460" s="15" t="s">
        <v>341</v>
      </c>
      <c r="B460" s="16" t="s">
        <v>2</v>
      </c>
      <c r="C460" s="2">
        <v>3528</v>
      </c>
      <c r="D460" s="2">
        <f>TPData[[#This Row],[Annual Contract Value (ACV)]]/12</f>
        <v>294</v>
      </c>
      <c r="E460" s="1">
        <v>43374</v>
      </c>
      <c r="F460" s="1">
        <f>EDATE(TPData[[#This Row],[Close Month]],11)</f>
        <v>43709</v>
      </c>
      <c r="G460" s="13" t="s">
        <v>520</v>
      </c>
      <c r="H460" s="4" t="str">
        <f t="shared" si="8"/>
        <v>Small (&lt;5k)</v>
      </c>
      <c r="I460" s="5"/>
    </row>
    <row r="461" spans="1:9" x14ac:dyDescent="0.2">
      <c r="A461" s="15" t="s">
        <v>342</v>
      </c>
      <c r="B461" s="16" t="s">
        <v>2</v>
      </c>
      <c r="C461" s="2">
        <v>6974.9999999999991</v>
      </c>
      <c r="D461" s="2">
        <f>TPData[[#This Row],[Annual Contract Value (ACV)]]/12</f>
        <v>581.24999999999989</v>
      </c>
      <c r="E461" s="1">
        <v>43405</v>
      </c>
      <c r="F461" s="1">
        <f>EDATE(TPData[[#This Row],[Close Month]],11)</f>
        <v>43739</v>
      </c>
      <c r="G461" s="13" t="s">
        <v>520</v>
      </c>
      <c r="H461" s="4" t="str">
        <f t="shared" si="8"/>
        <v>Medium (&lt;10k)</v>
      </c>
      <c r="I461" s="5"/>
    </row>
    <row r="462" spans="1:9" x14ac:dyDescent="0.2">
      <c r="A462" s="15" t="s">
        <v>343</v>
      </c>
      <c r="B462" s="16" t="s">
        <v>2</v>
      </c>
      <c r="C462" s="2">
        <v>7128</v>
      </c>
      <c r="D462" s="2">
        <f>TPData[[#This Row],[Annual Contract Value (ACV)]]/12</f>
        <v>594</v>
      </c>
      <c r="E462" s="1">
        <v>43405</v>
      </c>
      <c r="F462" s="1">
        <f>EDATE(TPData[[#This Row],[Close Month]],11)</f>
        <v>43739</v>
      </c>
      <c r="G462" s="13" t="s">
        <v>520</v>
      </c>
      <c r="H462" s="4" t="str">
        <f t="shared" si="8"/>
        <v>Medium (&lt;10k)</v>
      </c>
      <c r="I462" s="5"/>
    </row>
    <row r="463" spans="1:9" x14ac:dyDescent="0.2">
      <c r="A463" s="15" t="s">
        <v>344</v>
      </c>
      <c r="B463" s="16" t="s">
        <v>2</v>
      </c>
      <c r="C463" s="2">
        <v>5022</v>
      </c>
      <c r="D463" s="2">
        <f>TPData[[#This Row],[Annual Contract Value (ACV)]]/12</f>
        <v>418.5</v>
      </c>
      <c r="E463" s="1">
        <v>43435</v>
      </c>
      <c r="F463" s="1">
        <f>EDATE(TPData[[#This Row],[Close Month]],11)</f>
        <v>43770</v>
      </c>
      <c r="G463" s="13" t="s">
        <v>520</v>
      </c>
      <c r="H463" s="4" t="str">
        <f t="shared" si="8"/>
        <v>Medium (&lt;10k)</v>
      </c>
      <c r="I463" s="5"/>
    </row>
    <row r="464" spans="1:9" x14ac:dyDescent="0.2">
      <c r="A464" s="15" t="s">
        <v>345</v>
      </c>
      <c r="B464" s="16" t="s">
        <v>2</v>
      </c>
      <c r="C464" s="2">
        <v>2760</v>
      </c>
      <c r="D464" s="2">
        <f>TPData[[#This Row],[Annual Contract Value (ACV)]]/12</f>
        <v>230</v>
      </c>
      <c r="E464" s="1">
        <v>43435</v>
      </c>
      <c r="F464" s="1">
        <f>EDATE(TPData[[#This Row],[Close Month]],11)</f>
        <v>43770</v>
      </c>
      <c r="G464" s="13" t="s">
        <v>520</v>
      </c>
      <c r="H464" s="4" t="str">
        <f t="shared" si="8"/>
        <v>Small (&lt;5k)</v>
      </c>
      <c r="I464" s="5"/>
    </row>
    <row r="465" spans="1:9" x14ac:dyDescent="0.2">
      <c r="A465" s="15" t="s">
        <v>346</v>
      </c>
      <c r="B465" s="16" t="s">
        <v>2</v>
      </c>
      <c r="C465" s="2">
        <v>8640</v>
      </c>
      <c r="D465" s="2">
        <f>TPData[[#This Row],[Annual Contract Value (ACV)]]/12</f>
        <v>720</v>
      </c>
      <c r="E465" s="1">
        <v>43435</v>
      </c>
      <c r="F465" s="1">
        <f>EDATE(TPData[[#This Row],[Close Month]],11)</f>
        <v>43770</v>
      </c>
      <c r="G465" s="13" t="s">
        <v>520</v>
      </c>
      <c r="H465" s="4" t="str">
        <f t="shared" si="8"/>
        <v>Medium (&lt;10k)</v>
      </c>
      <c r="I465" s="5"/>
    </row>
    <row r="466" spans="1:9" x14ac:dyDescent="0.2">
      <c r="A466" s="15" t="s">
        <v>347</v>
      </c>
      <c r="B466" s="16" t="s">
        <v>2</v>
      </c>
      <c r="C466" s="2">
        <v>3564</v>
      </c>
      <c r="D466" s="2">
        <f>TPData[[#This Row],[Annual Contract Value (ACV)]]/12</f>
        <v>297</v>
      </c>
      <c r="E466" s="1">
        <v>43435</v>
      </c>
      <c r="F466" s="1">
        <f>EDATE(TPData[[#This Row],[Close Month]],11)</f>
        <v>43770</v>
      </c>
      <c r="G466" s="13" t="s">
        <v>520</v>
      </c>
      <c r="H466" s="4" t="str">
        <f t="shared" si="8"/>
        <v>Small (&lt;5k)</v>
      </c>
      <c r="I466" s="5"/>
    </row>
    <row r="467" spans="1:9" x14ac:dyDescent="0.2">
      <c r="A467" s="15" t="s">
        <v>348</v>
      </c>
      <c r="B467" s="16" t="s">
        <v>2</v>
      </c>
      <c r="C467" s="2">
        <v>6360</v>
      </c>
      <c r="D467" s="2">
        <f>TPData[[#This Row],[Annual Contract Value (ACV)]]/12</f>
        <v>530</v>
      </c>
      <c r="E467" s="1">
        <v>43435</v>
      </c>
      <c r="F467" s="1">
        <f>EDATE(TPData[[#This Row],[Close Month]],11)</f>
        <v>43770</v>
      </c>
      <c r="G467" s="13" t="s">
        <v>520</v>
      </c>
      <c r="H467" s="4" t="str">
        <f t="shared" si="8"/>
        <v>Medium (&lt;10k)</v>
      </c>
      <c r="I467" s="5"/>
    </row>
    <row r="468" spans="1:9" x14ac:dyDescent="0.2">
      <c r="A468" s="15" t="s">
        <v>349</v>
      </c>
      <c r="B468" s="16" t="s">
        <v>2</v>
      </c>
      <c r="C468" s="2">
        <v>4704</v>
      </c>
      <c r="D468" s="2">
        <f>TPData[[#This Row],[Annual Contract Value (ACV)]]/12</f>
        <v>392</v>
      </c>
      <c r="E468" s="1">
        <v>43435</v>
      </c>
      <c r="F468" s="1">
        <f>EDATE(TPData[[#This Row],[Close Month]],11)</f>
        <v>43770</v>
      </c>
      <c r="G468" s="13" t="s">
        <v>520</v>
      </c>
      <c r="H468" s="4" t="str">
        <f t="shared" si="8"/>
        <v>Small (&lt;5k)</v>
      </c>
      <c r="I468" s="5"/>
    </row>
    <row r="469" spans="1:9" x14ac:dyDescent="0.2">
      <c r="A469" s="15" t="s">
        <v>350</v>
      </c>
      <c r="B469" s="16" t="s">
        <v>2</v>
      </c>
      <c r="C469" s="2">
        <v>5184</v>
      </c>
      <c r="D469" s="2">
        <f>TPData[[#This Row],[Annual Contract Value (ACV)]]/12</f>
        <v>432</v>
      </c>
      <c r="E469" s="1">
        <v>43435</v>
      </c>
      <c r="F469" s="1">
        <f>EDATE(TPData[[#This Row],[Close Month]],11)</f>
        <v>43770</v>
      </c>
      <c r="G469" s="13" t="s">
        <v>520</v>
      </c>
      <c r="H469" s="4" t="str">
        <f t="shared" si="8"/>
        <v>Medium (&lt;10k)</v>
      </c>
      <c r="I469" s="5"/>
    </row>
    <row r="470" spans="1:9" x14ac:dyDescent="0.2">
      <c r="A470" s="15" t="s">
        <v>351</v>
      </c>
      <c r="B470" s="16" t="s">
        <v>2</v>
      </c>
      <c r="C470" s="2">
        <v>2160</v>
      </c>
      <c r="D470" s="2">
        <f>TPData[[#This Row],[Annual Contract Value (ACV)]]/12</f>
        <v>180</v>
      </c>
      <c r="E470" s="1">
        <v>43435</v>
      </c>
      <c r="F470" s="1">
        <f>EDATE(TPData[[#This Row],[Close Month]],11)</f>
        <v>43770</v>
      </c>
      <c r="G470" s="13" t="s">
        <v>520</v>
      </c>
      <c r="H470" s="4" t="str">
        <f t="shared" si="8"/>
        <v>Small (&lt;5k)</v>
      </c>
      <c r="I470" s="5"/>
    </row>
    <row r="471" spans="1:9" x14ac:dyDescent="0.2">
      <c r="A471" s="15" t="s">
        <v>352</v>
      </c>
      <c r="B471" s="16" t="s">
        <v>2</v>
      </c>
      <c r="C471" s="2">
        <v>6540.0000000000009</v>
      </c>
      <c r="D471" s="2">
        <f>TPData[[#This Row],[Annual Contract Value (ACV)]]/12</f>
        <v>545.00000000000011</v>
      </c>
      <c r="E471" s="1">
        <v>43466</v>
      </c>
      <c r="F471" s="1">
        <f>EDATE(TPData[[#This Row],[Close Month]],11)</f>
        <v>43800</v>
      </c>
      <c r="G471" s="13" t="s">
        <v>520</v>
      </c>
      <c r="H471" s="4" t="str">
        <f t="shared" si="8"/>
        <v>Medium (&lt;10k)</v>
      </c>
    </row>
    <row r="472" spans="1:9" x14ac:dyDescent="0.2">
      <c r="A472" s="15" t="s">
        <v>353</v>
      </c>
      <c r="B472" s="16" t="s">
        <v>2</v>
      </c>
      <c r="C472" s="2">
        <v>9720</v>
      </c>
      <c r="D472" s="2">
        <f>TPData[[#This Row],[Annual Contract Value (ACV)]]/12</f>
        <v>810</v>
      </c>
      <c r="E472" s="1">
        <v>43466</v>
      </c>
      <c r="F472" s="1">
        <f>EDATE(TPData[[#This Row],[Close Month]],11)</f>
        <v>43800</v>
      </c>
      <c r="G472" s="13" t="s">
        <v>520</v>
      </c>
      <c r="H472" s="4" t="str">
        <f t="shared" si="8"/>
        <v>Medium (&lt;10k)</v>
      </c>
    </row>
    <row r="473" spans="1:9" x14ac:dyDescent="0.2">
      <c r="A473" s="15" t="s">
        <v>354</v>
      </c>
      <c r="B473" s="16" t="s">
        <v>2</v>
      </c>
      <c r="C473" s="2">
        <v>4860</v>
      </c>
      <c r="D473" s="2">
        <f>TPData[[#This Row],[Annual Contract Value (ACV)]]/12</f>
        <v>405</v>
      </c>
      <c r="E473" s="1">
        <v>43466</v>
      </c>
      <c r="F473" s="1">
        <f>EDATE(TPData[[#This Row],[Close Month]],11)</f>
        <v>43800</v>
      </c>
      <c r="G473" s="13" t="s">
        <v>520</v>
      </c>
      <c r="H473" s="4" t="str">
        <f t="shared" si="8"/>
        <v>Small (&lt;5k)</v>
      </c>
    </row>
    <row r="474" spans="1:9" x14ac:dyDescent="0.2">
      <c r="A474" s="15" t="s">
        <v>355</v>
      </c>
      <c r="B474" s="16" t="s">
        <v>2</v>
      </c>
      <c r="C474" s="2">
        <v>13500</v>
      </c>
      <c r="D474" s="2">
        <f>TPData[[#This Row],[Annual Contract Value (ACV)]]/12</f>
        <v>1125</v>
      </c>
      <c r="E474" s="1">
        <v>43497</v>
      </c>
      <c r="F474" s="1">
        <f>EDATE(TPData[[#This Row],[Close Month]],11)</f>
        <v>43831</v>
      </c>
      <c r="G474" s="13" t="s">
        <v>520</v>
      </c>
      <c r="H474" s="4" t="str">
        <f t="shared" si="8"/>
        <v>Large (&lt;20k)</v>
      </c>
      <c r="I474" s="4"/>
    </row>
    <row r="475" spans="1:9" x14ac:dyDescent="0.2">
      <c r="A475" s="15" t="s">
        <v>356</v>
      </c>
      <c r="B475" s="16" t="s">
        <v>2</v>
      </c>
      <c r="C475" s="2">
        <v>2280</v>
      </c>
      <c r="D475" s="2">
        <f>TPData[[#This Row],[Annual Contract Value (ACV)]]/12</f>
        <v>190</v>
      </c>
      <c r="E475" s="1">
        <v>43497</v>
      </c>
      <c r="F475" s="1">
        <f>EDATE(TPData[[#This Row],[Close Month]],11)</f>
        <v>43831</v>
      </c>
      <c r="G475" s="13" t="s">
        <v>520</v>
      </c>
      <c r="H475" s="4" t="str">
        <f t="shared" si="8"/>
        <v>Small (&lt;5k)</v>
      </c>
      <c r="I475" s="4"/>
    </row>
    <row r="476" spans="1:9" x14ac:dyDescent="0.2">
      <c r="A476" s="15" t="s">
        <v>357</v>
      </c>
      <c r="B476" s="16" t="s">
        <v>2</v>
      </c>
      <c r="C476" s="2">
        <v>928.2</v>
      </c>
      <c r="D476" s="2">
        <f>TPData[[#This Row],[Annual Contract Value (ACV)]]/12</f>
        <v>77.350000000000009</v>
      </c>
      <c r="E476" s="1">
        <v>43497</v>
      </c>
      <c r="F476" s="1">
        <f>EDATE(TPData[[#This Row],[Close Month]],11)</f>
        <v>43831</v>
      </c>
      <c r="G476" s="13" t="s">
        <v>520</v>
      </c>
      <c r="H476" s="4" t="str">
        <f t="shared" si="8"/>
        <v>Small (&lt;5k)</v>
      </c>
      <c r="I476" s="4"/>
    </row>
    <row r="477" spans="1:9" x14ac:dyDescent="0.2">
      <c r="A477" s="15" t="s">
        <v>358</v>
      </c>
      <c r="B477" s="16" t="s">
        <v>2</v>
      </c>
      <c r="C477" s="2">
        <v>5390.0783999999994</v>
      </c>
      <c r="D477" s="2">
        <f>TPData[[#This Row],[Annual Contract Value (ACV)]]/12</f>
        <v>449.17319999999995</v>
      </c>
      <c r="E477" s="1">
        <v>43497</v>
      </c>
      <c r="F477" s="1">
        <f>EDATE(TPData[[#This Row],[Close Month]],11)</f>
        <v>43831</v>
      </c>
      <c r="G477" s="13" t="s">
        <v>520</v>
      </c>
      <c r="H477" s="4" t="str">
        <f t="shared" si="8"/>
        <v>Medium (&lt;10k)</v>
      </c>
      <c r="I477" s="4"/>
    </row>
    <row r="478" spans="1:9" x14ac:dyDescent="0.2">
      <c r="A478" s="15" t="s">
        <v>359</v>
      </c>
      <c r="B478" s="16" t="s">
        <v>2</v>
      </c>
      <c r="C478" s="2">
        <v>7200</v>
      </c>
      <c r="D478" s="2">
        <f>TPData[[#This Row],[Annual Contract Value (ACV)]]/12</f>
        <v>600</v>
      </c>
      <c r="E478" s="1">
        <v>43497</v>
      </c>
      <c r="F478" s="1">
        <f>EDATE(TPData[[#This Row],[Close Month]],11)</f>
        <v>43831</v>
      </c>
      <c r="G478" s="13" t="s">
        <v>520</v>
      </c>
      <c r="H478" s="4" t="str">
        <f t="shared" si="8"/>
        <v>Medium (&lt;10k)</v>
      </c>
      <c r="I478" s="4"/>
    </row>
    <row r="479" spans="1:9" x14ac:dyDescent="0.2">
      <c r="A479" s="15" t="s">
        <v>360</v>
      </c>
      <c r="B479" s="16" t="s">
        <v>2</v>
      </c>
      <c r="C479" s="2">
        <v>1248</v>
      </c>
      <c r="D479" s="2">
        <f>TPData[[#This Row],[Annual Contract Value (ACV)]]/12</f>
        <v>104</v>
      </c>
      <c r="E479" s="1">
        <v>43497</v>
      </c>
      <c r="F479" s="1">
        <f>EDATE(TPData[[#This Row],[Close Month]],11)</f>
        <v>43831</v>
      </c>
      <c r="G479" s="13" t="s">
        <v>520</v>
      </c>
      <c r="H479" s="4" t="str">
        <f t="shared" si="8"/>
        <v>Small (&lt;5k)</v>
      </c>
      <c r="I479" s="4"/>
    </row>
    <row r="480" spans="1:9" x14ac:dyDescent="0.2">
      <c r="A480" s="15" t="s">
        <v>361</v>
      </c>
      <c r="B480" s="16" t="s">
        <v>2</v>
      </c>
      <c r="C480" s="2">
        <v>1974</v>
      </c>
      <c r="D480" s="2">
        <f>TPData[[#This Row],[Annual Contract Value (ACV)]]/12</f>
        <v>164.5</v>
      </c>
      <c r="E480" s="1">
        <v>43497</v>
      </c>
      <c r="F480" s="1">
        <f>EDATE(TPData[[#This Row],[Close Month]],11)</f>
        <v>43831</v>
      </c>
      <c r="G480" s="13" t="s">
        <v>520</v>
      </c>
      <c r="H480" s="4" t="str">
        <f t="shared" si="8"/>
        <v>Small (&lt;5k)</v>
      </c>
      <c r="I480" s="4"/>
    </row>
    <row r="481" spans="1:9" x14ac:dyDescent="0.2">
      <c r="A481" s="15" t="s">
        <v>362</v>
      </c>
      <c r="B481" s="16" t="s">
        <v>2</v>
      </c>
      <c r="C481" s="2">
        <v>1638</v>
      </c>
      <c r="D481" s="2">
        <f>TPData[[#This Row],[Annual Contract Value (ACV)]]/12</f>
        <v>136.5</v>
      </c>
      <c r="E481" s="1">
        <v>43525</v>
      </c>
      <c r="F481" s="1">
        <f>EDATE(TPData[[#This Row],[Close Month]],11)</f>
        <v>43862</v>
      </c>
      <c r="G481" s="13" t="s">
        <v>520</v>
      </c>
      <c r="H481" s="4" t="str">
        <f t="shared" si="8"/>
        <v>Small (&lt;5k)</v>
      </c>
    </row>
    <row r="482" spans="1:9" x14ac:dyDescent="0.2">
      <c r="A482" s="15" t="s">
        <v>363</v>
      </c>
      <c r="B482" s="16" t="s">
        <v>2</v>
      </c>
      <c r="C482" s="2">
        <v>1470</v>
      </c>
      <c r="D482" s="2">
        <f>TPData[[#This Row],[Annual Contract Value (ACV)]]/12</f>
        <v>122.5</v>
      </c>
      <c r="E482" s="1">
        <v>43525</v>
      </c>
      <c r="F482" s="1">
        <f>EDATE(TPData[[#This Row],[Close Month]],11)</f>
        <v>43862</v>
      </c>
      <c r="G482" s="13" t="s">
        <v>520</v>
      </c>
      <c r="H482" s="4" t="str">
        <f t="shared" si="8"/>
        <v>Small (&lt;5k)</v>
      </c>
    </row>
    <row r="483" spans="1:9" x14ac:dyDescent="0.2">
      <c r="A483" s="15" t="s">
        <v>364</v>
      </c>
      <c r="B483" s="16" t="s">
        <v>2</v>
      </c>
      <c r="C483" s="2">
        <v>1470</v>
      </c>
      <c r="D483" s="2">
        <f>TPData[[#This Row],[Annual Contract Value (ACV)]]/12</f>
        <v>122.5</v>
      </c>
      <c r="E483" s="1">
        <v>43525</v>
      </c>
      <c r="F483" s="1">
        <f>EDATE(TPData[[#This Row],[Close Month]],11)</f>
        <v>43862</v>
      </c>
      <c r="G483" s="13" t="s">
        <v>520</v>
      </c>
      <c r="H483" s="4" t="str">
        <f t="shared" si="8"/>
        <v>Small (&lt;5k)</v>
      </c>
    </row>
    <row r="484" spans="1:9" x14ac:dyDescent="0.2">
      <c r="A484" s="15" t="s">
        <v>365</v>
      </c>
      <c r="B484" s="16" t="s">
        <v>2</v>
      </c>
      <c r="C484" s="2">
        <v>2256</v>
      </c>
      <c r="D484" s="2">
        <f>TPData[[#This Row],[Annual Contract Value (ACV)]]/12</f>
        <v>188</v>
      </c>
      <c r="E484" s="1">
        <v>43525</v>
      </c>
      <c r="F484" s="1">
        <f>EDATE(TPData[[#This Row],[Close Month]],11)</f>
        <v>43862</v>
      </c>
      <c r="G484" s="13" t="s">
        <v>520</v>
      </c>
      <c r="H484" s="4" t="str">
        <f t="shared" si="8"/>
        <v>Small (&lt;5k)</v>
      </c>
    </row>
    <row r="485" spans="1:9" x14ac:dyDescent="0.2">
      <c r="A485" s="15" t="s">
        <v>366</v>
      </c>
      <c r="B485" s="16" t="s">
        <v>2</v>
      </c>
      <c r="C485" s="2">
        <v>31104.000000000004</v>
      </c>
      <c r="D485" s="2">
        <f>TPData[[#This Row],[Annual Contract Value (ACV)]]/12</f>
        <v>2592.0000000000005</v>
      </c>
      <c r="E485" s="1">
        <v>43525</v>
      </c>
      <c r="F485" s="1">
        <f>EDATE(TPData[[#This Row],[Close Month]],11)</f>
        <v>43862</v>
      </c>
      <c r="G485" s="13" t="s">
        <v>520</v>
      </c>
      <c r="H485" s="4" t="str">
        <f t="shared" si="8"/>
        <v>Mega (20k+)</v>
      </c>
    </row>
    <row r="486" spans="1:9" x14ac:dyDescent="0.2">
      <c r="A486" s="15" t="s">
        <v>367</v>
      </c>
      <c r="B486" s="16" t="s">
        <v>2</v>
      </c>
      <c r="C486" s="2">
        <v>1920.0383999999999</v>
      </c>
      <c r="D486" s="2">
        <f>TPData[[#This Row],[Annual Contract Value (ACV)]]/12</f>
        <v>160.00319999999999</v>
      </c>
      <c r="E486" s="1">
        <v>43556</v>
      </c>
      <c r="F486" s="1">
        <f>EDATE(TPData[[#This Row],[Close Month]],11)</f>
        <v>43891</v>
      </c>
      <c r="G486" s="13" t="s">
        <v>520</v>
      </c>
      <c r="H486" s="4" t="str">
        <f t="shared" si="8"/>
        <v>Small (&lt;5k)</v>
      </c>
    </row>
    <row r="487" spans="1:9" x14ac:dyDescent="0.2">
      <c r="A487" s="15" t="s">
        <v>368</v>
      </c>
      <c r="B487" s="16" t="s">
        <v>2</v>
      </c>
      <c r="C487" s="2">
        <v>1605</v>
      </c>
      <c r="D487" s="2">
        <f>TPData[[#This Row],[Annual Contract Value (ACV)]]/12</f>
        <v>133.75</v>
      </c>
      <c r="E487" s="1">
        <v>43556</v>
      </c>
      <c r="F487" s="1">
        <f>EDATE(TPData[[#This Row],[Close Month]],11)</f>
        <v>43891</v>
      </c>
      <c r="G487" s="13" t="s">
        <v>520</v>
      </c>
      <c r="H487" s="4" t="str">
        <f t="shared" si="8"/>
        <v>Small (&lt;5k)</v>
      </c>
    </row>
    <row r="488" spans="1:9" x14ac:dyDescent="0.2">
      <c r="A488" s="15" t="s">
        <v>369</v>
      </c>
      <c r="B488" s="16" t="s">
        <v>2</v>
      </c>
      <c r="C488" s="2">
        <v>1500</v>
      </c>
      <c r="D488" s="2">
        <f>TPData[[#This Row],[Annual Contract Value (ACV)]]/12</f>
        <v>125</v>
      </c>
      <c r="E488" s="1">
        <v>43556</v>
      </c>
      <c r="F488" s="1">
        <f>EDATE(TPData[[#This Row],[Close Month]],11)</f>
        <v>43891</v>
      </c>
      <c r="G488" s="13" t="s">
        <v>520</v>
      </c>
      <c r="H488" s="4" t="str">
        <f t="shared" si="8"/>
        <v>Small (&lt;5k)</v>
      </c>
    </row>
    <row r="489" spans="1:9" x14ac:dyDescent="0.2">
      <c r="A489" s="15" t="s">
        <v>370</v>
      </c>
      <c r="B489" s="16" t="s">
        <v>2</v>
      </c>
      <c r="C489" s="2">
        <v>1854</v>
      </c>
      <c r="D489" s="2">
        <f>TPData[[#This Row],[Annual Contract Value (ACV)]]/12</f>
        <v>154.5</v>
      </c>
      <c r="E489" s="1">
        <v>43556</v>
      </c>
      <c r="F489" s="1">
        <f>EDATE(TPData[[#This Row],[Close Month]],11)</f>
        <v>43891</v>
      </c>
      <c r="G489" s="13" t="s">
        <v>520</v>
      </c>
      <c r="H489" s="4" t="str">
        <f t="shared" si="8"/>
        <v>Small (&lt;5k)</v>
      </c>
    </row>
    <row r="490" spans="1:9" x14ac:dyDescent="0.2">
      <c r="A490" s="15" t="s">
        <v>371</v>
      </c>
      <c r="B490" s="16" t="s">
        <v>2</v>
      </c>
      <c r="C490" s="2">
        <v>1824</v>
      </c>
      <c r="D490" s="2">
        <f>TPData[[#This Row],[Annual Contract Value (ACV)]]/12</f>
        <v>152</v>
      </c>
      <c r="E490" s="1">
        <v>43556</v>
      </c>
      <c r="F490" s="1">
        <f>EDATE(TPData[[#This Row],[Close Month]],11)</f>
        <v>43891</v>
      </c>
      <c r="G490" s="13" t="s">
        <v>520</v>
      </c>
      <c r="H490" s="4" t="str">
        <f t="shared" si="8"/>
        <v>Small (&lt;5k)</v>
      </c>
    </row>
    <row r="491" spans="1:9" x14ac:dyDescent="0.2">
      <c r="A491" s="15" t="s">
        <v>372</v>
      </c>
      <c r="B491" s="16" t="s">
        <v>2</v>
      </c>
      <c r="C491" s="2">
        <v>1104</v>
      </c>
      <c r="D491" s="2">
        <f>TPData[[#This Row],[Annual Contract Value (ACV)]]/12</f>
        <v>92</v>
      </c>
      <c r="E491" s="1">
        <v>43586</v>
      </c>
      <c r="F491" s="1">
        <f>EDATE(TPData[[#This Row],[Close Month]],11)</f>
        <v>43922</v>
      </c>
      <c r="G491" s="13" t="s">
        <v>520</v>
      </c>
      <c r="H491" s="4" t="str">
        <f t="shared" si="8"/>
        <v>Small (&lt;5k)</v>
      </c>
      <c r="I491" s="4"/>
    </row>
    <row r="492" spans="1:9" x14ac:dyDescent="0.2">
      <c r="A492" s="15" t="s">
        <v>373</v>
      </c>
      <c r="B492" s="16" t="s">
        <v>2</v>
      </c>
      <c r="C492" s="2">
        <v>5520</v>
      </c>
      <c r="D492" s="2">
        <f>TPData[[#This Row],[Annual Contract Value (ACV)]]/12</f>
        <v>460</v>
      </c>
      <c r="E492" s="1">
        <v>43586</v>
      </c>
      <c r="F492" s="1">
        <f>EDATE(TPData[[#This Row],[Close Month]],11)</f>
        <v>43922</v>
      </c>
      <c r="G492" s="13" t="s">
        <v>520</v>
      </c>
      <c r="H492" s="4" t="str">
        <f t="shared" si="8"/>
        <v>Medium (&lt;10k)</v>
      </c>
      <c r="I492" s="4"/>
    </row>
    <row r="493" spans="1:9" x14ac:dyDescent="0.2">
      <c r="A493" s="15" t="s">
        <v>374</v>
      </c>
      <c r="B493" s="16" t="s">
        <v>2</v>
      </c>
      <c r="C493" s="2">
        <v>3240</v>
      </c>
      <c r="D493" s="2">
        <f>TPData[[#This Row],[Annual Contract Value (ACV)]]/12</f>
        <v>270</v>
      </c>
      <c r="E493" s="1">
        <v>43586</v>
      </c>
      <c r="F493" s="1">
        <f>EDATE(TPData[[#This Row],[Close Month]],11)</f>
        <v>43922</v>
      </c>
      <c r="G493" s="13" t="s">
        <v>520</v>
      </c>
      <c r="H493" s="4" t="str">
        <f t="shared" si="8"/>
        <v>Small (&lt;5k)</v>
      </c>
      <c r="I493" s="4"/>
    </row>
    <row r="494" spans="1:9" x14ac:dyDescent="0.2">
      <c r="A494" s="15" t="s">
        <v>375</v>
      </c>
      <c r="B494" s="16" t="s">
        <v>2</v>
      </c>
      <c r="C494" s="2">
        <v>3150</v>
      </c>
      <c r="D494" s="2">
        <f>TPData[[#This Row],[Annual Contract Value (ACV)]]/12</f>
        <v>262.5</v>
      </c>
      <c r="E494" s="1">
        <v>43586</v>
      </c>
      <c r="F494" s="1">
        <f>EDATE(TPData[[#This Row],[Close Month]],11)</f>
        <v>43922</v>
      </c>
      <c r="G494" s="13" t="s">
        <v>520</v>
      </c>
      <c r="H494" s="4" t="str">
        <f t="shared" si="8"/>
        <v>Small (&lt;5k)</v>
      </c>
      <c r="I494" s="4"/>
    </row>
    <row r="495" spans="1:9" x14ac:dyDescent="0.2">
      <c r="A495" s="15" t="s">
        <v>376</v>
      </c>
      <c r="B495" s="16" t="s">
        <v>2</v>
      </c>
      <c r="C495" s="2">
        <v>7128</v>
      </c>
      <c r="D495" s="2">
        <f>TPData[[#This Row],[Annual Contract Value (ACV)]]/12</f>
        <v>594</v>
      </c>
      <c r="E495" s="1">
        <v>43586</v>
      </c>
      <c r="F495" s="1">
        <f>EDATE(TPData[[#This Row],[Close Month]],11)</f>
        <v>43922</v>
      </c>
      <c r="G495" s="13" t="s">
        <v>520</v>
      </c>
      <c r="H495" s="4" t="str">
        <f t="shared" si="8"/>
        <v>Medium (&lt;10k)</v>
      </c>
      <c r="I495" s="4"/>
    </row>
    <row r="496" spans="1:9" x14ac:dyDescent="0.2">
      <c r="A496" s="15" t="s">
        <v>377</v>
      </c>
      <c r="B496" s="16" t="s">
        <v>2</v>
      </c>
      <c r="C496" s="2">
        <v>2310</v>
      </c>
      <c r="D496" s="2">
        <f>TPData[[#This Row],[Annual Contract Value (ACV)]]/12</f>
        <v>192.5</v>
      </c>
      <c r="E496" s="1">
        <v>43586</v>
      </c>
      <c r="F496" s="1">
        <f>EDATE(TPData[[#This Row],[Close Month]],11)</f>
        <v>43922</v>
      </c>
      <c r="G496" s="13" t="s">
        <v>520</v>
      </c>
      <c r="H496" s="4" t="str">
        <f t="shared" si="8"/>
        <v>Small (&lt;5k)</v>
      </c>
      <c r="I496" s="4"/>
    </row>
    <row r="497" spans="1:9" x14ac:dyDescent="0.2">
      <c r="A497" s="15" t="s">
        <v>378</v>
      </c>
      <c r="B497" s="16" t="s">
        <v>2</v>
      </c>
      <c r="C497" s="2">
        <v>1926</v>
      </c>
      <c r="D497" s="2">
        <f>TPData[[#This Row],[Annual Contract Value (ACV)]]/12</f>
        <v>160.5</v>
      </c>
      <c r="E497" s="1">
        <v>43617</v>
      </c>
      <c r="F497" s="1">
        <f>EDATE(TPData[[#This Row],[Close Month]],11)</f>
        <v>43952</v>
      </c>
      <c r="G497" s="13" t="s">
        <v>520</v>
      </c>
      <c r="H497" s="4" t="str">
        <f t="shared" si="8"/>
        <v>Small (&lt;5k)</v>
      </c>
      <c r="I497" s="4"/>
    </row>
    <row r="498" spans="1:9" x14ac:dyDescent="0.2">
      <c r="A498" s="15" t="s">
        <v>484</v>
      </c>
      <c r="B498" s="16" t="s">
        <v>2</v>
      </c>
      <c r="C498" s="2">
        <v>1140</v>
      </c>
      <c r="D498" s="2">
        <f>TPData[[#This Row],[Annual Contract Value (ACV)]]/12</f>
        <v>95</v>
      </c>
      <c r="E498" s="1">
        <v>43344</v>
      </c>
      <c r="F498" s="1">
        <f>EDATE(TPData[[#This Row],[Close Month]],11)</f>
        <v>43678</v>
      </c>
      <c r="G498" s="13" t="s">
        <v>521</v>
      </c>
      <c r="H498" s="4" t="str">
        <f t="shared" si="8"/>
        <v>Small (&lt;5k)</v>
      </c>
    </row>
    <row r="499" spans="1:9" x14ac:dyDescent="0.2">
      <c r="A499" s="15" t="s">
        <v>485</v>
      </c>
      <c r="B499" s="16" t="s">
        <v>2</v>
      </c>
      <c r="C499" s="2">
        <v>6624</v>
      </c>
      <c r="D499" s="2">
        <f>TPData[[#This Row],[Annual Contract Value (ACV)]]/12</f>
        <v>552</v>
      </c>
      <c r="E499" s="1">
        <v>43374</v>
      </c>
      <c r="F499" s="1">
        <f>EDATE(TPData[[#This Row],[Close Month]],11)</f>
        <v>43709</v>
      </c>
      <c r="G499" s="13" t="s">
        <v>521</v>
      </c>
      <c r="H499" s="4" t="str">
        <f t="shared" si="8"/>
        <v>Medium (&lt;10k)</v>
      </c>
      <c r="I499" s="5"/>
    </row>
    <row r="500" spans="1:9" x14ac:dyDescent="0.2">
      <c r="A500" s="15" t="s">
        <v>541</v>
      </c>
      <c r="B500" s="16" t="s">
        <v>2</v>
      </c>
      <c r="C500" s="2">
        <v>5254</v>
      </c>
      <c r="D500" s="2">
        <f>TPData[[#This Row],[Annual Contract Value (ACV)]]/12</f>
        <v>437.83333333333331</v>
      </c>
      <c r="E500" s="1">
        <v>43282</v>
      </c>
      <c r="F500" s="1">
        <f>EDATE(TPData[[#This Row],[Close Month]],11)</f>
        <v>43617</v>
      </c>
      <c r="G500" s="13" t="s">
        <v>521</v>
      </c>
      <c r="H500" s="4" t="str">
        <f t="shared" si="8"/>
        <v>Medium (&lt;10k)</v>
      </c>
      <c r="I500" s="5"/>
    </row>
    <row r="501" spans="1:9" x14ac:dyDescent="0.2">
      <c r="A501" s="15" t="s">
        <v>539</v>
      </c>
      <c r="B501" s="16" t="s">
        <v>2</v>
      </c>
      <c r="C501" s="2">
        <v>2514</v>
      </c>
      <c r="D501" s="2">
        <f>TPData[[#This Row],[Annual Contract Value (ACV)]]/12</f>
        <v>209.5</v>
      </c>
      <c r="E501" s="1">
        <v>43313</v>
      </c>
      <c r="F501" s="1">
        <f>EDATE(TPData[[#This Row],[Close Month]],11)</f>
        <v>43647</v>
      </c>
      <c r="G501" s="13" t="s">
        <v>521</v>
      </c>
      <c r="H501" s="4" t="str">
        <f t="shared" si="8"/>
        <v>Small (&lt;5k)</v>
      </c>
      <c r="I501" s="5"/>
    </row>
    <row r="502" spans="1:9" x14ac:dyDescent="0.2">
      <c r="A502" s="15" t="s">
        <v>540</v>
      </c>
      <c r="B502" s="16" t="s">
        <v>2</v>
      </c>
      <c r="C502" s="2">
        <v>7452</v>
      </c>
      <c r="D502" s="2">
        <f>TPData[[#This Row],[Annual Contract Value (ACV)]]/12</f>
        <v>621</v>
      </c>
      <c r="E502" s="1">
        <v>43313</v>
      </c>
      <c r="F502" s="1">
        <f>EDATE(TPData[[#This Row],[Close Month]],11)</f>
        <v>43647</v>
      </c>
      <c r="G502" s="13" t="s">
        <v>521</v>
      </c>
      <c r="H502" s="4" t="str">
        <f t="shared" si="8"/>
        <v>Medium (&lt;10k)</v>
      </c>
      <c r="I502" s="5"/>
    </row>
    <row r="503" spans="1:9" x14ac:dyDescent="0.2">
      <c r="A503" s="15" t="s">
        <v>486</v>
      </c>
      <c r="B503" s="16" t="s">
        <v>2</v>
      </c>
      <c r="C503" s="2">
        <v>5940</v>
      </c>
      <c r="D503" s="2">
        <f>TPData[[#This Row],[Annual Contract Value (ACV)]]/12</f>
        <v>495</v>
      </c>
      <c r="E503" s="1">
        <v>43374</v>
      </c>
      <c r="F503" s="1">
        <f>EDATE(TPData[[#This Row],[Close Month]],11)</f>
        <v>43709</v>
      </c>
      <c r="G503" s="13" t="s">
        <v>521</v>
      </c>
      <c r="H503" s="4" t="str">
        <f t="shared" si="8"/>
        <v>Medium (&lt;10k)</v>
      </c>
      <c r="I503" s="5"/>
    </row>
    <row r="504" spans="1:9" x14ac:dyDescent="0.2">
      <c r="A504" s="15" t="s">
        <v>487</v>
      </c>
      <c r="B504" s="16" t="s">
        <v>2</v>
      </c>
      <c r="C504" s="2">
        <v>11040</v>
      </c>
      <c r="D504" s="2">
        <f>TPData[[#This Row],[Annual Contract Value (ACV)]]/12</f>
        <v>920</v>
      </c>
      <c r="E504" s="1">
        <v>43405</v>
      </c>
      <c r="F504" s="1">
        <f>EDATE(TPData[[#This Row],[Close Month]],11)</f>
        <v>43739</v>
      </c>
      <c r="G504" s="13" t="s">
        <v>521</v>
      </c>
      <c r="H504" s="4" t="str">
        <f t="shared" si="8"/>
        <v>Large (&lt;20k)</v>
      </c>
      <c r="I504" s="5"/>
    </row>
    <row r="505" spans="1:9" x14ac:dyDescent="0.2">
      <c r="A505" s="15" t="s">
        <v>488</v>
      </c>
      <c r="B505" s="16" t="s">
        <v>2</v>
      </c>
      <c r="C505" s="2">
        <v>3090</v>
      </c>
      <c r="D505" s="2">
        <f>TPData[[#This Row],[Annual Contract Value (ACV)]]/12</f>
        <v>257.5</v>
      </c>
      <c r="E505" s="1">
        <v>43405</v>
      </c>
      <c r="F505" s="1">
        <f>EDATE(TPData[[#This Row],[Close Month]],11)</f>
        <v>43739</v>
      </c>
      <c r="G505" s="13" t="s">
        <v>521</v>
      </c>
      <c r="H505" s="4" t="str">
        <f t="shared" si="8"/>
        <v>Small (&lt;5k)</v>
      </c>
      <c r="I505" s="5"/>
    </row>
    <row r="506" spans="1:9" x14ac:dyDescent="0.2">
      <c r="A506" s="15" t="s">
        <v>542</v>
      </c>
      <c r="B506" s="16" t="s">
        <v>2</v>
      </c>
      <c r="C506" s="2">
        <v>7485</v>
      </c>
      <c r="D506" s="2">
        <f>TPData[[#This Row],[Annual Contract Value (ACV)]]/12</f>
        <v>623.75</v>
      </c>
      <c r="E506" s="1">
        <v>43586</v>
      </c>
      <c r="F506" s="1">
        <f>EDATE(TPData[[#This Row],[Close Month]],11)</f>
        <v>43922</v>
      </c>
      <c r="G506" s="13" t="s">
        <v>521</v>
      </c>
      <c r="H506" s="4" t="str">
        <f t="shared" si="8"/>
        <v>Medium (&lt;10k)</v>
      </c>
      <c r="I506" s="5"/>
    </row>
    <row r="507" spans="1:9" x14ac:dyDescent="0.2">
      <c r="A507" s="15" t="s">
        <v>543</v>
      </c>
      <c r="B507" s="16" t="s">
        <v>2</v>
      </c>
      <c r="C507" s="2">
        <v>12542</v>
      </c>
      <c r="D507" s="2">
        <f>TPData[[#This Row],[Annual Contract Value (ACV)]]/12</f>
        <v>1045.1666666666667</v>
      </c>
      <c r="E507" s="1">
        <v>43586</v>
      </c>
      <c r="F507" s="1">
        <f>EDATE(TPData[[#This Row],[Close Month]],11)</f>
        <v>43922</v>
      </c>
      <c r="G507" s="13" t="s">
        <v>521</v>
      </c>
      <c r="H507" s="4" t="str">
        <f t="shared" si="8"/>
        <v>Large (&lt;20k)</v>
      </c>
      <c r="I507" s="5"/>
    </row>
    <row r="508" spans="1:9" x14ac:dyDescent="0.2">
      <c r="A508" s="15" t="s">
        <v>489</v>
      </c>
      <c r="B508" s="16" t="s">
        <v>2</v>
      </c>
      <c r="C508" s="2">
        <v>5760</v>
      </c>
      <c r="D508" s="2">
        <f>TPData[[#This Row],[Annual Contract Value (ACV)]]/12</f>
        <v>480</v>
      </c>
      <c r="E508" s="1">
        <v>43405</v>
      </c>
      <c r="F508" s="1">
        <f>EDATE(TPData[[#This Row],[Close Month]],11)</f>
        <v>43739</v>
      </c>
      <c r="G508" s="13" t="s">
        <v>521</v>
      </c>
      <c r="H508" s="4" t="str">
        <f t="shared" si="8"/>
        <v>Medium (&lt;10k)</v>
      </c>
      <c r="I508" s="5"/>
    </row>
    <row r="509" spans="1:9" x14ac:dyDescent="0.2">
      <c r="A509" s="15" t="s">
        <v>490</v>
      </c>
      <c r="B509" s="16" t="s">
        <v>2</v>
      </c>
      <c r="C509" s="2">
        <v>13464</v>
      </c>
      <c r="D509" s="2">
        <f>TPData[[#This Row],[Annual Contract Value (ACV)]]/12</f>
        <v>1122</v>
      </c>
      <c r="E509" s="1">
        <v>43405</v>
      </c>
      <c r="F509" s="1">
        <f>EDATE(TPData[[#This Row],[Close Month]],11)</f>
        <v>43739</v>
      </c>
      <c r="G509" s="13" t="s">
        <v>521</v>
      </c>
      <c r="H509" s="4" t="str">
        <f t="shared" si="8"/>
        <v>Large (&lt;20k)</v>
      </c>
      <c r="I509" s="5"/>
    </row>
    <row r="510" spans="1:9" x14ac:dyDescent="0.2">
      <c r="A510" s="15" t="s">
        <v>491</v>
      </c>
      <c r="B510" s="16" t="s">
        <v>2</v>
      </c>
      <c r="C510" s="2">
        <v>3780</v>
      </c>
      <c r="D510" s="2">
        <f>TPData[[#This Row],[Annual Contract Value (ACV)]]/12</f>
        <v>315</v>
      </c>
      <c r="E510" s="1">
        <v>43435</v>
      </c>
      <c r="F510" s="1">
        <f>EDATE(TPData[[#This Row],[Close Month]],11)</f>
        <v>43770</v>
      </c>
      <c r="G510" s="13" t="s">
        <v>521</v>
      </c>
      <c r="H510" s="4" t="str">
        <f t="shared" si="8"/>
        <v>Small (&lt;5k)</v>
      </c>
      <c r="I510" s="5"/>
    </row>
    <row r="511" spans="1:9" x14ac:dyDescent="0.2">
      <c r="A511" s="15" t="s">
        <v>492</v>
      </c>
      <c r="B511" s="16" t="s">
        <v>2</v>
      </c>
      <c r="C511" s="2">
        <v>6147.9576000000006</v>
      </c>
      <c r="D511" s="2">
        <f>TPData[[#This Row],[Annual Contract Value (ACV)]]/12</f>
        <v>512.32980000000009</v>
      </c>
      <c r="E511" s="1">
        <v>43435</v>
      </c>
      <c r="F511" s="1">
        <f>EDATE(TPData[[#This Row],[Close Month]],11)</f>
        <v>43770</v>
      </c>
      <c r="G511" s="13" t="s">
        <v>521</v>
      </c>
      <c r="H511" s="4" t="str">
        <f t="shared" si="8"/>
        <v>Medium (&lt;10k)</v>
      </c>
      <c r="I511" s="5"/>
    </row>
    <row r="512" spans="1:9" x14ac:dyDescent="0.2">
      <c r="A512" s="15" t="s">
        <v>493</v>
      </c>
      <c r="B512" s="16" t="s">
        <v>2</v>
      </c>
      <c r="C512" s="2">
        <v>5460</v>
      </c>
      <c r="D512" s="2">
        <f>TPData[[#This Row],[Annual Contract Value (ACV)]]/12</f>
        <v>455</v>
      </c>
      <c r="E512" s="1">
        <v>43435</v>
      </c>
      <c r="F512" s="1">
        <f>EDATE(TPData[[#This Row],[Close Month]],11)</f>
        <v>43770</v>
      </c>
      <c r="G512" s="13" t="s">
        <v>521</v>
      </c>
      <c r="H512" s="4" t="str">
        <f t="shared" si="8"/>
        <v>Medium (&lt;10k)</v>
      </c>
      <c r="I512" s="5"/>
    </row>
    <row r="513" spans="1:9" x14ac:dyDescent="0.2">
      <c r="A513" s="15" t="s">
        <v>494</v>
      </c>
      <c r="B513" s="16" t="s">
        <v>2</v>
      </c>
      <c r="C513" s="2">
        <v>8962.7999999999993</v>
      </c>
      <c r="D513" s="2">
        <f>TPData[[#This Row],[Annual Contract Value (ACV)]]/12</f>
        <v>746.9</v>
      </c>
      <c r="E513" s="1">
        <v>43435</v>
      </c>
      <c r="F513" s="1">
        <f>EDATE(TPData[[#This Row],[Close Month]],11)</f>
        <v>43770</v>
      </c>
      <c r="G513" s="13" t="s">
        <v>521</v>
      </c>
      <c r="H513" s="4" t="str">
        <f t="shared" si="8"/>
        <v>Medium (&lt;10k)</v>
      </c>
      <c r="I513" s="5"/>
    </row>
    <row r="514" spans="1:9" x14ac:dyDescent="0.2">
      <c r="A514" s="15" t="s">
        <v>495</v>
      </c>
      <c r="B514" s="16" t="s">
        <v>2</v>
      </c>
      <c r="C514" s="2">
        <v>9700.0776000000005</v>
      </c>
      <c r="D514" s="2">
        <f>TPData[[#This Row],[Annual Contract Value (ACV)]]/12</f>
        <v>808.33980000000008</v>
      </c>
      <c r="E514" s="1">
        <v>43466</v>
      </c>
      <c r="F514" s="1">
        <f>EDATE(TPData[[#This Row],[Close Month]],11)</f>
        <v>43800</v>
      </c>
      <c r="G514" s="13" t="s">
        <v>521</v>
      </c>
      <c r="H514" s="4" t="str">
        <f t="shared" ref="H514:H527" si="9">IF(C514&lt;=5000,$J$5,IF((C514&lt;10000),$J$6,IF((C514&lt;20000),$J$7,IF((C514&gt;=20000),$J$8))))</f>
        <v>Medium (&lt;10k)</v>
      </c>
    </row>
    <row r="515" spans="1:9" x14ac:dyDescent="0.2">
      <c r="A515" s="15" t="s">
        <v>496</v>
      </c>
      <c r="B515" s="16" t="s">
        <v>2</v>
      </c>
      <c r="C515" s="2">
        <v>3090</v>
      </c>
      <c r="D515" s="2">
        <f>TPData[[#This Row],[Annual Contract Value (ACV)]]/12</f>
        <v>257.5</v>
      </c>
      <c r="E515" s="1">
        <v>43497</v>
      </c>
      <c r="F515" s="1">
        <f>EDATE(TPData[[#This Row],[Close Month]],11)</f>
        <v>43831</v>
      </c>
      <c r="G515" s="13" t="s">
        <v>521</v>
      </c>
      <c r="H515" s="4" t="str">
        <f t="shared" si="9"/>
        <v>Small (&lt;5k)</v>
      </c>
      <c r="I515" s="4"/>
    </row>
    <row r="516" spans="1:9" x14ac:dyDescent="0.2">
      <c r="A516" s="15" t="s">
        <v>497</v>
      </c>
      <c r="B516" s="16" t="s">
        <v>2</v>
      </c>
      <c r="C516" s="2">
        <v>4608</v>
      </c>
      <c r="D516" s="2">
        <f>TPData[[#This Row],[Annual Contract Value (ACV)]]/12</f>
        <v>384</v>
      </c>
      <c r="E516" s="1">
        <v>43497</v>
      </c>
      <c r="F516" s="1">
        <f>EDATE(TPData[[#This Row],[Close Month]],11)</f>
        <v>43831</v>
      </c>
      <c r="G516" s="13" t="s">
        <v>521</v>
      </c>
      <c r="H516" s="4" t="str">
        <f t="shared" si="9"/>
        <v>Small (&lt;5k)</v>
      </c>
      <c r="I516" s="4"/>
    </row>
    <row r="517" spans="1:9" x14ac:dyDescent="0.2">
      <c r="A517" s="15" t="s">
        <v>498</v>
      </c>
      <c r="B517" s="16" t="s">
        <v>2</v>
      </c>
      <c r="C517" s="2">
        <v>4007.6400000000003</v>
      </c>
      <c r="D517" s="2">
        <f>TPData[[#This Row],[Annual Contract Value (ACV)]]/12</f>
        <v>333.97</v>
      </c>
      <c r="E517" s="1">
        <v>43525</v>
      </c>
      <c r="F517" s="1">
        <f>EDATE(TPData[[#This Row],[Close Month]],11)</f>
        <v>43862</v>
      </c>
      <c r="G517" s="13" t="s">
        <v>521</v>
      </c>
      <c r="H517" s="4" t="str">
        <f t="shared" si="9"/>
        <v>Small (&lt;5k)</v>
      </c>
    </row>
    <row r="518" spans="1:9" x14ac:dyDescent="0.2">
      <c r="A518" s="15" t="s">
        <v>499</v>
      </c>
      <c r="B518" s="16" t="s">
        <v>2</v>
      </c>
      <c r="C518" s="2">
        <v>8064</v>
      </c>
      <c r="D518" s="2">
        <f>TPData[[#This Row],[Annual Contract Value (ACV)]]/12</f>
        <v>672</v>
      </c>
      <c r="E518" s="1">
        <v>43525</v>
      </c>
      <c r="F518" s="1">
        <f>EDATE(TPData[[#This Row],[Close Month]],11)</f>
        <v>43862</v>
      </c>
      <c r="G518" s="13" t="s">
        <v>521</v>
      </c>
      <c r="H518" s="4" t="str">
        <f t="shared" si="9"/>
        <v>Medium (&lt;10k)</v>
      </c>
    </row>
    <row r="519" spans="1:9" x14ac:dyDescent="0.2">
      <c r="A519" s="15" t="s">
        <v>500</v>
      </c>
      <c r="B519" s="16" t="s">
        <v>2</v>
      </c>
      <c r="C519" s="2">
        <v>13332</v>
      </c>
      <c r="D519" s="2">
        <f>TPData[[#This Row],[Annual Contract Value (ACV)]]/12</f>
        <v>1111</v>
      </c>
      <c r="E519" s="1">
        <v>43525</v>
      </c>
      <c r="F519" s="1">
        <f>EDATE(TPData[[#This Row],[Close Month]],11)</f>
        <v>43862</v>
      </c>
      <c r="G519" s="13" t="s">
        <v>521</v>
      </c>
      <c r="H519" s="4" t="str">
        <f t="shared" si="9"/>
        <v>Large (&lt;20k)</v>
      </c>
    </row>
    <row r="520" spans="1:9" x14ac:dyDescent="0.2">
      <c r="A520" s="15" t="s">
        <v>501</v>
      </c>
      <c r="B520" s="16" t="s">
        <v>2</v>
      </c>
      <c r="C520" s="2">
        <v>3767.52</v>
      </c>
      <c r="D520" s="2">
        <f>TPData[[#This Row],[Annual Contract Value (ACV)]]/12</f>
        <v>313.95999999999998</v>
      </c>
      <c r="E520" s="1">
        <v>43556</v>
      </c>
      <c r="F520" s="1">
        <f>EDATE(TPData[[#This Row],[Close Month]],11)</f>
        <v>43891</v>
      </c>
      <c r="G520" s="13" t="s">
        <v>521</v>
      </c>
      <c r="H520" s="4" t="str">
        <f t="shared" si="9"/>
        <v>Small (&lt;5k)</v>
      </c>
    </row>
    <row r="521" spans="1:9" x14ac:dyDescent="0.2">
      <c r="A521" s="15" t="s">
        <v>502</v>
      </c>
      <c r="B521" s="16" t="s">
        <v>2</v>
      </c>
      <c r="C521" s="2">
        <v>1365</v>
      </c>
      <c r="D521" s="2">
        <f>TPData[[#This Row],[Annual Contract Value (ACV)]]/12</f>
        <v>113.75</v>
      </c>
      <c r="E521" s="1">
        <v>43556</v>
      </c>
      <c r="F521" s="1">
        <f>EDATE(TPData[[#This Row],[Close Month]],11)</f>
        <v>43891</v>
      </c>
      <c r="G521" s="13" t="s">
        <v>521</v>
      </c>
      <c r="H521" s="4" t="str">
        <f t="shared" si="9"/>
        <v>Small (&lt;5k)</v>
      </c>
    </row>
    <row r="522" spans="1:9" x14ac:dyDescent="0.2">
      <c r="A522" s="15" t="s">
        <v>503</v>
      </c>
      <c r="B522" s="16" t="s">
        <v>2</v>
      </c>
      <c r="C522" s="2">
        <v>1410</v>
      </c>
      <c r="D522" s="2">
        <f>TPData[[#This Row],[Annual Contract Value (ACV)]]/12</f>
        <v>117.5</v>
      </c>
      <c r="E522" s="1">
        <v>43556</v>
      </c>
      <c r="F522" s="1">
        <f>EDATE(TPData[[#This Row],[Close Month]],11)</f>
        <v>43891</v>
      </c>
      <c r="G522" s="13" t="s">
        <v>521</v>
      </c>
      <c r="H522" s="4" t="str">
        <f t="shared" si="9"/>
        <v>Small (&lt;5k)</v>
      </c>
    </row>
    <row r="523" spans="1:9" x14ac:dyDescent="0.2">
      <c r="A523" s="15" t="s">
        <v>504</v>
      </c>
      <c r="B523" s="16" t="s">
        <v>2</v>
      </c>
      <c r="C523" s="2">
        <v>6666</v>
      </c>
      <c r="D523" s="2">
        <f>TPData[[#This Row],[Annual Contract Value (ACV)]]/12</f>
        <v>555.5</v>
      </c>
      <c r="E523" s="1">
        <v>43556</v>
      </c>
      <c r="F523" s="1">
        <f>EDATE(TPData[[#This Row],[Close Month]],11)</f>
        <v>43891</v>
      </c>
      <c r="G523" s="13" t="s">
        <v>521</v>
      </c>
      <c r="H523" s="4" t="str">
        <f t="shared" si="9"/>
        <v>Medium (&lt;10k)</v>
      </c>
    </row>
    <row r="524" spans="1:9" x14ac:dyDescent="0.2">
      <c r="A524" s="15" t="s">
        <v>505</v>
      </c>
      <c r="B524" s="16" t="s">
        <v>2</v>
      </c>
      <c r="C524" s="2">
        <v>1272</v>
      </c>
      <c r="D524" s="2">
        <f>TPData[[#This Row],[Annual Contract Value (ACV)]]/12</f>
        <v>106</v>
      </c>
      <c r="E524" s="1">
        <v>43556</v>
      </c>
      <c r="F524" s="1">
        <f>EDATE(TPData[[#This Row],[Close Month]],11)</f>
        <v>43891</v>
      </c>
      <c r="G524" s="13" t="s">
        <v>521</v>
      </c>
      <c r="H524" s="4" t="str">
        <f t="shared" si="9"/>
        <v>Small (&lt;5k)</v>
      </c>
    </row>
    <row r="525" spans="1:9" x14ac:dyDescent="0.2">
      <c r="A525" s="15" t="s">
        <v>506</v>
      </c>
      <c r="B525" s="16" t="s">
        <v>2</v>
      </c>
      <c r="C525" s="2">
        <v>16920</v>
      </c>
      <c r="D525" s="2">
        <f>TPData[[#This Row],[Annual Contract Value (ACV)]]/12</f>
        <v>1410</v>
      </c>
      <c r="E525" s="1">
        <v>43556</v>
      </c>
      <c r="F525" s="1">
        <f>EDATE(TPData[[#This Row],[Close Month]],11)</f>
        <v>43891</v>
      </c>
      <c r="G525" s="13" t="s">
        <v>521</v>
      </c>
      <c r="H525" s="4" t="str">
        <f t="shared" si="9"/>
        <v>Large (&lt;20k)</v>
      </c>
    </row>
    <row r="526" spans="1:9" x14ac:dyDescent="0.2">
      <c r="A526" s="15" t="s">
        <v>507</v>
      </c>
      <c r="B526" s="16" t="s">
        <v>2</v>
      </c>
      <c r="C526" s="2">
        <v>1980.0395999999998</v>
      </c>
      <c r="D526" s="2">
        <f>TPData[[#This Row],[Annual Contract Value (ACV)]]/12</f>
        <v>165.0033</v>
      </c>
      <c r="E526" s="1">
        <v>43617</v>
      </c>
      <c r="F526" s="1">
        <f>EDATE(TPData[[#This Row],[Close Month]],11)</f>
        <v>43952</v>
      </c>
      <c r="G526" s="13" t="s">
        <v>521</v>
      </c>
      <c r="H526" s="4" t="str">
        <f t="shared" si="9"/>
        <v>Small (&lt;5k)</v>
      </c>
      <c r="I526" s="4"/>
    </row>
    <row r="527" spans="1:9" x14ac:dyDescent="0.2">
      <c r="A527" s="15" t="s">
        <v>508</v>
      </c>
      <c r="B527" s="16" t="s">
        <v>2</v>
      </c>
      <c r="C527" s="2">
        <v>5520</v>
      </c>
      <c r="D527" s="2">
        <f>TPData[[#This Row],[Annual Contract Value (ACV)]]/12</f>
        <v>460</v>
      </c>
      <c r="E527" s="1">
        <v>43617</v>
      </c>
      <c r="F527" s="1">
        <f>EDATE(TPData[[#This Row],[Close Month]],11)</f>
        <v>43952</v>
      </c>
      <c r="G527" s="13" t="s">
        <v>521</v>
      </c>
      <c r="H527" s="4" t="str">
        <f t="shared" si="9"/>
        <v>Medium (&lt;10k)</v>
      </c>
      <c r="I527" s="4"/>
    </row>
  </sheetData>
  <mergeCells count="1">
    <mergeCell ref="M3:N3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E1402-1F5B-4C33-8E56-8D9BC6980027}">
  <sheetPr codeName="Sheet11">
    <pageSetUpPr fitToPage="1"/>
  </sheetPr>
  <dimension ref="B1:L1057"/>
  <sheetViews>
    <sheetView showGridLines="0" zoomScaleNormal="100" workbookViewId="0">
      <selection activeCell="H9" sqref="H9"/>
    </sheetView>
  </sheetViews>
  <sheetFormatPr baseColWidth="10" defaultColWidth="8.83203125" defaultRowHeight="15" x14ac:dyDescent="0.2"/>
  <cols>
    <col min="1" max="1" width="1.83203125" style="49" customWidth="1"/>
    <col min="2" max="2" width="13.33203125" style="49" bestFit="1" customWidth="1"/>
    <col min="3" max="3" width="13" style="49" bestFit="1" customWidth="1"/>
    <col min="4" max="4" width="13" style="49" customWidth="1"/>
    <col min="5" max="5" width="19.6640625" style="49" bestFit="1" customWidth="1"/>
    <col min="6" max="6" width="14.1640625" style="49" bestFit="1" customWidth="1"/>
    <col min="7" max="7" width="11.1640625" style="49" bestFit="1" customWidth="1"/>
    <col min="8" max="8" width="13.33203125" style="49" customWidth="1"/>
    <col min="9" max="9" width="12.5" style="49" bestFit="1" customWidth="1"/>
    <col min="10" max="10" width="8.5" style="49" bestFit="1" customWidth="1"/>
    <col min="11" max="11" width="17.1640625" style="49" customWidth="1"/>
    <col min="12" max="16" width="11.1640625" style="49" bestFit="1" customWidth="1"/>
    <col min="17" max="17" width="12.5" style="49" bestFit="1" customWidth="1"/>
    <col min="18" max="16384" width="8.83203125" style="49"/>
  </cols>
  <sheetData>
    <row r="1" spans="2:12" x14ac:dyDescent="0.2">
      <c r="B1" s="8" t="s">
        <v>544</v>
      </c>
    </row>
    <row r="4" spans="2:12" ht="32" x14ac:dyDescent="0.2">
      <c r="B4" s="11" t="s">
        <v>4</v>
      </c>
      <c r="C4" s="11" t="s">
        <v>1</v>
      </c>
      <c r="D4" s="11" t="s">
        <v>509</v>
      </c>
      <c r="E4" s="66" t="str" vm="475">
        <f>CUBEMEMBER("ThisWorkbookDataModel","[Measures].[Sum of Annual Contract Value (ACV)]")</f>
        <v>Sum of Annual Contract Value (ACV)</v>
      </c>
      <c r="F4" s="11" t="s">
        <v>605</v>
      </c>
      <c r="G4" s="4"/>
      <c r="H4" s="49" t="s">
        <v>602</v>
      </c>
      <c r="I4" s="4">
        <f xml:space="preserve"> MIN(E5:E530)</f>
        <v>570</v>
      </c>
    </row>
    <row r="5" spans="2:12" x14ac:dyDescent="0.2">
      <c r="B5" s="49" t="str" vm="795">
        <f>CUBEMEMBER("ThisWorkbookDataModel","[TPData].[Client].&amp;[Client 100]")</f>
        <v>Client 100</v>
      </c>
      <c r="C5" s="49" t="str" vm="1054">
        <f>CUBEMEMBER("ThisWorkbookDataModel",{"[TPData].[Client].&amp;[Client 100]","[TPData].[Close Month].&amp;[2018-08-01T00:00:00]"})</f>
        <v>8/1/2018</v>
      </c>
      <c r="D5" s="49" t="str">
        <f>INDEX(TPData[Sales Rep],MATCH('Deal Size Analysis'!$B5,TPData[Client],FALSE))</f>
        <v>Rep 21</v>
      </c>
      <c r="E5" s="4" vm="1424">
        <f t="shared" ref="E5:E68" si="0">CUBEVALUE("ThisWorkbookDataModel",$C5,E$4)</f>
        <v>2208</v>
      </c>
      <c r="F5" s="4" t="str">
        <f>IF(E5&lt;=5000,$H$9,IF((E5&lt;10000),$H$10,IF((E5&lt;20000),$H$11,IF((E5&gt;=20000),$H$12))))</f>
        <v>Small (&lt;5k)</v>
      </c>
      <c r="G5" s="4"/>
      <c r="H5" s="49" t="s">
        <v>603</v>
      </c>
      <c r="I5" s="4">
        <f>MAX(E5:E530)</f>
        <v>51226.560000000005</v>
      </c>
    </row>
    <row r="6" spans="2:12" x14ac:dyDescent="0.2">
      <c r="B6" s="49" t="str" vm="668">
        <f>CUBEMEMBER("ThisWorkbookDataModel","[TPData].[Client].&amp;[Client 101]")</f>
        <v>Client 101</v>
      </c>
      <c r="C6" s="49" t="str" vm="474">
        <f>CUBEMEMBER("ThisWorkbookDataModel",{"[TPData].[Client].&amp;[Client 101]","[TPData].[Close Month].&amp;[2018-08-01T00:00:00]"})</f>
        <v>8/1/2018</v>
      </c>
      <c r="D6" s="49" t="str">
        <f>INDEX(TPData[Sales Rep],MATCH('Deal Size Analysis'!$B6,TPData[Client],FALSE))</f>
        <v>Rep 21</v>
      </c>
      <c r="E6" s="4" vm="1309">
        <f t="shared" si="0"/>
        <v>12408</v>
      </c>
      <c r="F6" s="4" t="str">
        <f t="shared" ref="F6:F69" si="1">IF(E6&lt;=5000,$H$9,IF((E6&lt;10000),$H$10,IF((E6&lt;20000),$H$11,IF((E6&gt;=20000),$H$12))))</f>
        <v>Large (&lt;20k)</v>
      </c>
      <c r="H6" s="49" t="s">
        <v>604</v>
      </c>
      <c r="I6" s="4">
        <f>AVERAGE(E5:E530)</f>
        <v>6466.1528252623557</v>
      </c>
    </row>
    <row r="7" spans="2:12" x14ac:dyDescent="0.2">
      <c r="B7" s="49" t="str" vm="967">
        <f>CUBEMEMBER("ThisWorkbookDataModel","[TPData].[Client].&amp;[Client 102]")</f>
        <v>Client 102</v>
      </c>
      <c r="C7" s="49" t="str" vm="881">
        <f>CUBEMEMBER("ThisWorkbookDataModel",{"[TPData].[Client].&amp;[Client 102]","[TPData].[Close Month].&amp;[2018-09-01T00:00:00]"})</f>
        <v>9/1/2018</v>
      </c>
      <c r="D7" s="49" t="str">
        <f>INDEX(TPData[Sales Rep],MATCH('Deal Size Analysis'!$B7,TPData[Client],FALSE))</f>
        <v>Rep 21</v>
      </c>
      <c r="E7" s="4" vm="1303">
        <f t="shared" si="0"/>
        <v>5670</v>
      </c>
      <c r="F7" s="4" t="str">
        <f t="shared" si="1"/>
        <v>Medium (&lt;10k)</v>
      </c>
    </row>
    <row r="8" spans="2:12" ht="16" x14ac:dyDescent="0.2">
      <c r="B8" s="49" t="str" vm="667">
        <f>CUBEMEMBER("ThisWorkbookDataModel","[TPData].[Client].&amp;[Client 103]")</f>
        <v>Client 103</v>
      </c>
      <c r="C8" s="49" t="str" vm="473">
        <f>CUBEMEMBER("ThisWorkbookDataModel",{"[TPData].[Client].&amp;[Client 103]","[TPData].[Close Month].&amp;[2018-09-01T00:00:00]"})</f>
        <v>9/1/2018</v>
      </c>
      <c r="D8" s="49" t="str">
        <f>INDEX(TPData[Sales Rep],MATCH('Deal Size Analysis'!$B8,TPData[Client],FALSE))</f>
        <v>Rep 21</v>
      </c>
      <c r="E8" s="4" vm="1425">
        <f t="shared" si="0"/>
        <v>5356.7999999999993</v>
      </c>
      <c r="F8" s="4" t="str">
        <f t="shared" si="1"/>
        <v>Medium (&lt;10k)</v>
      </c>
      <c r="I8" s="56" t="s">
        <v>607</v>
      </c>
      <c r="J8" s="56" t="s">
        <v>616</v>
      </c>
      <c r="K8" s="56" t="s">
        <v>608</v>
      </c>
      <c r="L8" s="56" t="s">
        <v>609</v>
      </c>
    </row>
    <row r="9" spans="2:12" x14ac:dyDescent="0.2">
      <c r="B9" s="49" t="str" vm="794">
        <f>CUBEMEMBER("ThisWorkbookDataModel","[TPData].[Client].&amp;[Client 104]")</f>
        <v>Client 104</v>
      </c>
      <c r="C9" s="49" t="str" vm="1053">
        <f>CUBEMEMBER("ThisWorkbookDataModel",{"[TPData].[Client].&amp;[Client 104]","[TPData].[Close Month].&amp;[2018-09-01T00:00:00]"})</f>
        <v>9/1/2018</v>
      </c>
      <c r="D9" s="49" t="str">
        <f>INDEX(TPData[Sales Rep],MATCH('Deal Size Analysis'!$B9,TPData[Client],FALSE))</f>
        <v>Rep 21</v>
      </c>
      <c r="E9" s="4" vm="1423">
        <f t="shared" si="0"/>
        <v>3090</v>
      </c>
      <c r="F9" s="4" t="str">
        <f t="shared" si="1"/>
        <v>Small (&lt;5k)</v>
      </c>
      <c r="H9" s="49" t="s">
        <v>610</v>
      </c>
      <c r="I9" s="42">
        <f>SUMIF($F$5:$F$530,H9,$E$5:$E$530)</f>
        <v>707702.64845600037</v>
      </c>
      <c r="J9" s="49">
        <f>COUNTIF($F$5:$F$530,H9)</f>
        <v>273</v>
      </c>
      <c r="K9" s="4">
        <f>I9/J9</f>
        <v>2592.3173936117228</v>
      </c>
      <c r="L9" s="55">
        <f>I9/$I$13</f>
        <v>0.20807462084539854</v>
      </c>
    </row>
    <row r="10" spans="2:12" x14ac:dyDescent="0.2">
      <c r="B10" s="49" t="str" vm="666">
        <f>CUBEMEMBER("ThisWorkbookDataModel","[TPData].[Client].&amp;[Client 105]")</f>
        <v>Client 105</v>
      </c>
      <c r="C10" s="49" t="str" vm="472">
        <f>CUBEMEMBER("ThisWorkbookDataModel",{"[TPData].[Client].&amp;[Client 105]","[TPData].[Close Month].&amp;[2018-09-01T00:00:00]"})</f>
        <v>9/1/2018</v>
      </c>
      <c r="D10" s="49" t="str">
        <f>INDEX(TPData[Sales Rep],MATCH('Deal Size Analysis'!$B10,TPData[Client],FALSE))</f>
        <v>Rep 21</v>
      </c>
      <c r="E10" s="4" vm="1060">
        <f t="shared" si="0"/>
        <v>2820</v>
      </c>
      <c r="F10" s="4" t="str">
        <f t="shared" si="1"/>
        <v>Small (&lt;5k)</v>
      </c>
      <c r="H10" s="49" t="s">
        <v>611</v>
      </c>
      <c r="I10" s="42">
        <f t="shared" ref="I10:I12" si="2">SUMIF($F$5:$F$530,H10,$E$5:$E$530)</f>
        <v>1083232.716032</v>
      </c>
      <c r="J10" s="49">
        <f t="shared" ref="J10:J12" si="3">COUNTIF($F$5:$F$530,H10)</f>
        <v>157</v>
      </c>
      <c r="K10" s="4">
        <f t="shared" ref="K10:K13" si="4">I10/J10</f>
        <v>6899.5714396942676</v>
      </c>
      <c r="L10" s="55">
        <f t="shared" ref="L10:L12" si="5">I10/$I$13</f>
        <v>0.31848578943067629</v>
      </c>
    </row>
    <row r="11" spans="2:12" x14ac:dyDescent="0.2">
      <c r="B11" s="49" t="str" vm="966">
        <f>CUBEMEMBER("ThisWorkbookDataModel","[TPData].[Client].&amp;[Client 106]")</f>
        <v>Client 106</v>
      </c>
      <c r="C11" s="49" t="str" vm="880">
        <f>CUBEMEMBER("ThisWorkbookDataModel",{"[TPData].[Client].&amp;[Client 106]","[TPData].[Close Month].&amp;[2018-10-01T00:00:00]"})</f>
        <v>10/1/2018</v>
      </c>
      <c r="D11" s="49" t="str">
        <f>INDEX(TPData[Sales Rep],MATCH('Deal Size Analysis'!$B11,TPData[Client],FALSE))</f>
        <v>Rep 21</v>
      </c>
      <c r="E11" s="4" vm="1302">
        <f t="shared" si="0"/>
        <v>7776.0000000000009</v>
      </c>
      <c r="F11" s="4" t="str">
        <f t="shared" si="1"/>
        <v>Medium (&lt;10k)</v>
      </c>
      <c r="H11" s="57" t="s">
        <v>612</v>
      </c>
      <c r="I11" s="58">
        <f t="shared" si="2"/>
        <v>1071862.9127999998</v>
      </c>
      <c r="J11" s="57">
        <f t="shared" si="3"/>
        <v>78</v>
      </c>
      <c r="K11" s="59">
        <f t="shared" si="4"/>
        <v>13741.832215384613</v>
      </c>
      <c r="L11" s="60">
        <f t="shared" si="5"/>
        <v>0.31514290594458699</v>
      </c>
    </row>
    <row r="12" spans="2:12" x14ac:dyDescent="0.2">
      <c r="B12" s="49" t="str" vm="665">
        <f>CUBEMEMBER("ThisWorkbookDataModel","[TPData].[Client].&amp;[Client 107]")</f>
        <v>Client 107</v>
      </c>
      <c r="C12" s="49" t="str" vm="471">
        <f>CUBEMEMBER("ThisWorkbookDataModel",{"[TPData].[Client].&amp;[Client 107]","[TPData].[Close Month].&amp;[2018-10-01T00:00:00]"})</f>
        <v>10/1/2018</v>
      </c>
      <c r="D12" s="49" t="str">
        <f>INDEX(TPData[Sales Rep],MATCH('Deal Size Analysis'!$B12,TPData[Client],FALSE))</f>
        <v>Rep 21</v>
      </c>
      <c r="E12" s="4" vm="1426">
        <f t="shared" si="0"/>
        <v>3348</v>
      </c>
      <c r="F12" s="4" t="str">
        <f t="shared" si="1"/>
        <v>Small (&lt;5k)</v>
      </c>
      <c r="H12" s="11" t="s">
        <v>613</v>
      </c>
      <c r="I12" s="61">
        <f t="shared" si="2"/>
        <v>538398.10880000005</v>
      </c>
      <c r="J12" s="11">
        <f t="shared" si="3"/>
        <v>18</v>
      </c>
      <c r="K12" s="62">
        <f t="shared" si="4"/>
        <v>29911.006044444446</v>
      </c>
      <c r="L12" s="63">
        <f t="shared" si="5"/>
        <v>0.1582966837793382</v>
      </c>
    </row>
    <row r="13" spans="2:12" x14ac:dyDescent="0.2">
      <c r="B13" s="49" t="str" vm="793">
        <f>CUBEMEMBER("ThisWorkbookDataModel","[TPData].[Client].&amp;[Client 108]")</f>
        <v>Client 108</v>
      </c>
      <c r="C13" s="49" t="str" vm="1052">
        <f>CUBEMEMBER("ThisWorkbookDataModel",{"[TPData].[Client].&amp;[Client 108]","[TPData].[Close Month].&amp;[2018-10-01T00:00:00]"})</f>
        <v>10/1/2018</v>
      </c>
      <c r="D13" s="49" t="str">
        <f>INDEX(TPData[Sales Rep],MATCH('Deal Size Analysis'!$B13,TPData[Client],FALSE))</f>
        <v>Rep 21</v>
      </c>
      <c r="E13" s="4" vm="1422">
        <f t="shared" si="0"/>
        <v>3060</v>
      </c>
      <c r="F13" s="4" t="str">
        <f t="shared" si="1"/>
        <v>Small (&lt;5k)</v>
      </c>
      <c r="H13" s="49" t="s">
        <v>606</v>
      </c>
      <c r="I13" s="3">
        <f>SUM(I9:I12)</f>
        <v>3401196.3860880001</v>
      </c>
      <c r="J13" s="3">
        <f>SUM(J9:J12)</f>
        <v>526</v>
      </c>
      <c r="K13" s="4">
        <f t="shared" si="4"/>
        <v>6466.1528252623575</v>
      </c>
    </row>
    <row r="14" spans="2:12" x14ac:dyDescent="0.2">
      <c r="B14" s="49" t="str" vm="664">
        <f>CUBEMEMBER("ThisWorkbookDataModel","[TPData].[Client].&amp;[Client 109]")</f>
        <v>Client 109</v>
      </c>
      <c r="C14" s="49" t="str" vm="470">
        <f>CUBEMEMBER("ThisWorkbookDataModel",{"[TPData].[Client].&amp;[Client 109]","[TPData].[Close Month].&amp;[2018-10-01T00:00:00]"})</f>
        <v>10/1/2018</v>
      </c>
      <c r="D14" s="49" t="str">
        <f>INDEX(TPData[Sales Rep],MATCH('Deal Size Analysis'!$B14,TPData[Client],FALSE))</f>
        <v>Rep 21</v>
      </c>
      <c r="E14" s="4" vm="1427">
        <f t="shared" si="0"/>
        <v>3240</v>
      </c>
      <c r="F14" s="4" t="str">
        <f t="shared" si="1"/>
        <v>Small (&lt;5k)</v>
      </c>
    </row>
    <row r="15" spans="2:12" x14ac:dyDescent="0.2">
      <c r="B15" s="49" t="str" vm="965">
        <f>CUBEMEMBER("ThisWorkbookDataModel","[TPData].[Client].&amp;[Client 110]")</f>
        <v>Client 110</v>
      </c>
      <c r="C15" s="49" t="str" vm="879">
        <f>CUBEMEMBER("ThisWorkbookDataModel",{"[TPData].[Client].&amp;[Client 110]","[TPData].[Close Month].&amp;[2018-11-01T00:00:00]"})</f>
        <v>11/1/2018</v>
      </c>
      <c r="D15" s="49" t="str">
        <f>INDEX(TPData[Sales Rep],MATCH('Deal Size Analysis'!$B15,TPData[Client],FALSE))</f>
        <v>Rep 21</v>
      </c>
      <c r="E15" s="4" vm="1301">
        <f t="shared" si="0"/>
        <v>17820</v>
      </c>
      <c r="F15" s="4" t="str">
        <f t="shared" si="1"/>
        <v>Large (&lt;20k)</v>
      </c>
    </row>
    <row r="16" spans="2:12" x14ac:dyDescent="0.2">
      <c r="B16" s="49" t="str" vm="663">
        <f>CUBEMEMBER("ThisWorkbookDataModel","[TPData].[Client].&amp;[Client 111]")</f>
        <v>Client 111</v>
      </c>
      <c r="C16" s="49" t="str" vm="469">
        <f>CUBEMEMBER("ThisWorkbookDataModel",{"[TPData].[Client].&amp;[Client 111]","[TPData].[Close Month].&amp;[2018-11-01T00:00:00]"})</f>
        <v>11/1/2018</v>
      </c>
      <c r="D16" s="49" t="str">
        <f>INDEX(TPData[Sales Rep],MATCH('Deal Size Analysis'!$B16,TPData[Client],FALSE))</f>
        <v>Rep 21</v>
      </c>
      <c r="E16" s="4" vm="1428">
        <f t="shared" si="0"/>
        <v>6240</v>
      </c>
      <c r="F16" s="4" t="str">
        <f t="shared" si="1"/>
        <v>Medium (&lt;10k)</v>
      </c>
    </row>
    <row r="17" spans="2:6" x14ac:dyDescent="0.2">
      <c r="B17" s="49" t="str" vm="792">
        <f>CUBEMEMBER("ThisWorkbookDataModel","[TPData].[Client].&amp;[Client 112]")</f>
        <v>Client 112</v>
      </c>
      <c r="C17" s="49" t="str" vm="1051">
        <f>CUBEMEMBER("ThisWorkbookDataModel",{"[TPData].[Client].&amp;[Client 112]","[TPData].[Close Month].&amp;[2018-11-01T00:00:00]"})</f>
        <v>11/1/2018</v>
      </c>
      <c r="D17" s="49" t="str">
        <f>INDEX(TPData[Sales Rep],MATCH('Deal Size Analysis'!$B17,TPData[Client],FALSE))</f>
        <v>Rep 21</v>
      </c>
      <c r="E17" s="4" vm="1421">
        <f t="shared" si="0"/>
        <v>1260</v>
      </c>
      <c r="F17" s="4" t="str">
        <f t="shared" si="1"/>
        <v>Small (&lt;5k)</v>
      </c>
    </row>
    <row r="18" spans="2:6" x14ac:dyDescent="0.2">
      <c r="B18" s="49" t="str" vm="662">
        <f>CUBEMEMBER("ThisWorkbookDataModel","[TPData].[Client].&amp;[Client 113]")</f>
        <v>Client 113</v>
      </c>
      <c r="C18" s="49" t="str" vm="468">
        <f>CUBEMEMBER("ThisWorkbookDataModel",{"[TPData].[Client].&amp;[Client 113]","[TPData].[Close Month].&amp;[2018-11-01T00:00:00]"})</f>
        <v>11/1/2018</v>
      </c>
      <c r="D18" s="49" t="str">
        <f>INDEX(TPData[Sales Rep],MATCH('Deal Size Analysis'!$B18,TPData[Client],FALSE))</f>
        <v>Rep 21</v>
      </c>
      <c r="E18" s="4" vm="1164">
        <f t="shared" si="0"/>
        <v>1104</v>
      </c>
      <c r="F18" s="4" t="str">
        <f t="shared" si="1"/>
        <v>Small (&lt;5k)</v>
      </c>
    </row>
    <row r="19" spans="2:6" x14ac:dyDescent="0.2">
      <c r="B19" s="49" t="str" vm="964">
        <f>CUBEMEMBER("ThisWorkbookDataModel","[TPData].[Client].&amp;[Client 114]")</f>
        <v>Client 114</v>
      </c>
      <c r="C19" s="49" t="str" vm="878">
        <f>CUBEMEMBER("ThisWorkbookDataModel",{"[TPData].[Client].&amp;[Client 114]","[TPData].[Close Month].&amp;[2018-11-01T00:00:00]"})</f>
        <v>11/1/2018</v>
      </c>
      <c r="D19" s="49" t="str">
        <f>INDEX(TPData[Sales Rep],MATCH('Deal Size Analysis'!$B19,TPData[Client],FALSE))</f>
        <v>Rep 21</v>
      </c>
      <c r="E19" s="4" vm="1300">
        <f t="shared" si="0"/>
        <v>720</v>
      </c>
      <c r="F19" s="4" t="str">
        <f t="shared" si="1"/>
        <v>Small (&lt;5k)</v>
      </c>
    </row>
    <row r="20" spans="2:6" x14ac:dyDescent="0.2">
      <c r="B20" s="49" t="str" vm="661">
        <f>CUBEMEMBER("ThisWorkbookDataModel","[TPData].[Client].&amp;[Client 115]")</f>
        <v>Client 115</v>
      </c>
      <c r="C20" s="49" t="str" vm="467">
        <f>CUBEMEMBER("ThisWorkbookDataModel",{"[TPData].[Client].&amp;[Client 115]","[TPData].[Close Month].&amp;[2018-12-01T00:00:00]"})</f>
        <v>12/1/2018</v>
      </c>
      <c r="D20" s="49" t="str">
        <f>INDEX(TPData[Sales Rep],MATCH('Deal Size Analysis'!$B20,TPData[Client],FALSE))</f>
        <v>Rep 21</v>
      </c>
      <c r="E20" s="4" vm="1429">
        <f t="shared" si="0"/>
        <v>10164</v>
      </c>
      <c r="F20" s="4" t="str">
        <f t="shared" si="1"/>
        <v>Large (&lt;20k)</v>
      </c>
    </row>
    <row r="21" spans="2:6" x14ac:dyDescent="0.2">
      <c r="B21" s="49" t="str" vm="791">
        <f>CUBEMEMBER("ThisWorkbookDataModel","[TPData].[Client].&amp;[Client 116]")</f>
        <v>Client 116</v>
      </c>
      <c r="C21" s="49" t="str" vm="1050">
        <f>CUBEMEMBER("ThisWorkbookDataModel",{"[TPData].[Client].&amp;[Client 116]","[TPData].[Close Month].&amp;[2018-12-01T00:00:00]"})</f>
        <v>12/1/2018</v>
      </c>
      <c r="D21" s="49" t="str">
        <f>INDEX(TPData[Sales Rep],MATCH('Deal Size Analysis'!$B21,TPData[Client],FALSE))</f>
        <v>Rep 21</v>
      </c>
      <c r="E21" s="4" vm="1420">
        <f t="shared" si="0"/>
        <v>2700</v>
      </c>
      <c r="F21" s="4" t="str">
        <f t="shared" si="1"/>
        <v>Small (&lt;5k)</v>
      </c>
    </row>
    <row r="22" spans="2:6" x14ac:dyDescent="0.2">
      <c r="B22" s="49" t="str" vm="660">
        <f>CUBEMEMBER("ThisWorkbookDataModel","[TPData].[Client].&amp;[Client 117]")</f>
        <v>Client 117</v>
      </c>
      <c r="C22" s="49" t="str" vm="466">
        <f>CUBEMEMBER("ThisWorkbookDataModel",{"[TPData].[Client].&amp;[Client 117]","[TPData].[Close Month].&amp;[2018-12-01T00:00:00]"})</f>
        <v>12/1/2018</v>
      </c>
      <c r="D22" s="49" t="str">
        <f>INDEX(TPData[Sales Rep],MATCH('Deal Size Analysis'!$B22,TPData[Client],FALSE))</f>
        <v>Rep 21</v>
      </c>
      <c r="E22" s="4" vm="1059">
        <f t="shared" si="0"/>
        <v>5820</v>
      </c>
      <c r="F22" s="4" t="str">
        <f t="shared" si="1"/>
        <v>Medium (&lt;10k)</v>
      </c>
    </row>
    <row r="23" spans="2:6" x14ac:dyDescent="0.2">
      <c r="B23" s="49" t="str" vm="963">
        <f>CUBEMEMBER("ThisWorkbookDataModel","[TPData].[Client].&amp;[Client 118]")</f>
        <v>Client 118</v>
      </c>
      <c r="C23" s="49" t="str" vm="877">
        <f>CUBEMEMBER("ThisWorkbookDataModel",{"[TPData].[Client].&amp;[Client 118]","[TPData].[Close Month].&amp;[2018-12-01T00:00:00]"})</f>
        <v>12/1/2018</v>
      </c>
      <c r="D23" s="49" t="str">
        <f>INDEX(TPData[Sales Rep],MATCH('Deal Size Analysis'!$B23,TPData[Client],FALSE))</f>
        <v>Rep 21</v>
      </c>
      <c r="E23" s="4" vm="1299">
        <f t="shared" si="0"/>
        <v>6984</v>
      </c>
      <c r="F23" s="4" t="str">
        <f t="shared" si="1"/>
        <v>Medium (&lt;10k)</v>
      </c>
    </row>
    <row r="24" spans="2:6" x14ac:dyDescent="0.2">
      <c r="B24" s="49" t="str" vm="659">
        <f>CUBEMEMBER("ThisWorkbookDataModel","[TPData].[Client].&amp;[Client 119]")</f>
        <v>Client 119</v>
      </c>
      <c r="C24" s="49" t="str" vm="465">
        <f>CUBEMEMBER("ThisWorkbookDataModel",{"[TPData].[Client].&amp;[Client 119]","[TPData].[Close Month].&amp;[2018-12-01T00:00:00]"})</f>
        <v>12/1/2018</v>
      </c>
      <c r="D24" s="49" t="str">
        <f>INDEX(TPData[Sales Rep],MATCH('Deal Size Analysis'!$B24,TPData[Client],FALSE))</f>
        <v>Rep 21</v>
      </c>
      <c r="E24" s="4" vm="1430">
        <f t="shared" si="0"/>
        <v>12739.960799999999</v>
      </c>
      <c r="F24" s="4" t="str">
        <f t="shared" si="1"/>
        <v>Large (&lt;20k)</v>
      </c>
    </row>
    <row r="25" spans="2:6" x14ac:dyDescent="0.2">
      <c r="B25" s="49" t="str" vm="790">
        <f>CUBEMEMBER("ThisWorkbookDataModel","[TPData].[Client].&amp;[Client 120]")</f>
        <v>Client 120</v>
      </c>
      <c r="C25" s="49" t="str" vm="1049">
        <f>CUBEMEMBER("ThisWorkbookDataModel",{"[TPData].[Client].&amp;[Client 120]","[TPData].[Close Month].&amp;[2018-12-01T00:00:00]"})</f>
        <v>12/1/2018</v>
      </c>
      <c r="D25" s="49" t="str">
        <f>INDEX(TPData[Sales Rep],MATCH('Deal Size Analysis'!$B25,TPData[Client],FALSE))</f>
        <v>Rep 21</v>
      </c>
      <c r="E25" s="4" vm="1419">
        <f t="shared" si="0"/>
        <v>6552</v>
      </c>
      <c r="F25" s="4" t="str">
        <f t="shared" si="1"/>
        <v>Medium (&lt;10k)</v>
      </c>
    </row>
    <row r="26" spans="2:6" x14ac:dyDescent="0.2">
      <c r="B26" s="49" t="str" vm="658">
        <f>CUBEMEMBER("ThisWorkbookDataModel","[TPData].[Client].&amp;[Client 121]")</f>
        <v>Client 121</v>
      </c>
      <c r="C26" s="49" t="str" vm="464">
        <f>CUBEMEMBER("ThisWorkbookDataModel",{"[TPData].[Client].&amp;[Client 121]","[TPData].[Close Month].&amp;[2018-12-01T00:00:00]"})</f>
        <v>12/1/2018</v>
      </c>
      <c r="D26" s="49" t="str">
        <f>INDEX(TPData[Sales Rep],MATCH('Deal Size Analysis'!$B26,TPData[Client],FALSE))</f>
        <v>Rep 21</v>
      </c>
      <c r="E26" s="4" vm="1193">
        <f t="shared" si="0"/>
        <v>37800</v>
      </c>
      <c r="F26" s="4" t="str">
        <f t="shared" si="1"/>
        <v>Mega (20k+)</v>
      </c>
    </row>
    <row r="27" spans="2:6" x14ac:dyDescent="0.2">
      <c r="B27" s="49" t="str" vm="962">
        <f>CUBEMEMBER("ThisWorkbookDataModel","[TPData].[Client].&amp;[Client 122]")</f>
        <v>Client 122</v>
      </c>
      <c r="C27" s="49" t="str" vm="876">
        <f>CUBEMEMBER("ThisWorkbookDataModel",{"[TPData].[Client].&amp;[Client 122]","[TPData].[Close Month].&amp;[2018-12-01T00:00:00]"})</f>
        <v>12/1/2018</v>
      </c>
      <c r="D27" s="49" t="str">
        <f>INDEX(TPData[Sales Rep],MATCH('Deal Size Analysis'!$B27,TPData[Client],FALSE))</f>
        <v>Rep 21</v>
      </c>
      <c r="E27" s="4" vm="1298">
        <f t="shared" si="0"/>
        <v>1365</v>
      </c>
      <c r="F27" s="4" t="str">
        <f t="shared" si="1"/>
        <v>Small (&lt;5k)</v>
      </c>
    </row>
    <row r="28" spans="2:6" x14ac:dyDescent="0.2">
      <c r="B28" s="49" t="str" vm="657">
        <f>CUBEMEMBER("ThisWorkbookDataModel","[TPData].[Client].&amp;[Client 123]")</f>
        <v>Client 123</v>
      </c>
      <c r="C28" s="49" t="str" vm="463">
        <f>CUBEMEMBER("ThisWorkbookDataModel",{"[TPData].[Client].&amp;[Client 123]","[TPData].[Close Month].&amp;[2018-12-01T00:00:00]"})</f>
        <v>12/1/2018</v>
      </c>
      <c r="D28" s="49" t="str">
        <f>INDEX(TPData[Sales Rep],MATCH('Deal Size Analysis'!$B28,TPData[Client],FALSE))</f>
        <v>Rep 21</v>
      </c>
      <c r="E28" s="4" vm="1431">
        <f t="shared" si="0"/>
        <v>8100</v>
      </c>
      <c r="F28" s="4" t="str">
        <f t="shared" si="1"/>
        <v>Medium (&lt;10k)</v>
      </c>
    </row>
    <row r="29" spans="2:6" x14ac:dyDescent="0.2">
      <c r="B29" s="49" t="str" vm="789">
        <f>CUBEMEMBER("ThisWorkbookDataModel","[TPData].[Client].&amp;[Client 124]")</f>
        <v>Client 124</v>
      </c>
      <c r="C29" s="49" t="str" vm="1048">
        <f>CUBEMEMBER("ThisWorkbookDataModel",{"[TPData].[Client].&amp;[Client 124]","[TPData].[Close Month].&amp;[2019-01-01T00:00:00]"})</f>
        <v>1/1/2019</v>
      </c>
      <c r="D29" s="49" t="str">
        <f>INDEX(TPData[Sales Rep],MATCH('Deal Size Analysis'!$B29,TPData[Client],FALSE))</f>
        <v>Rep 21</v>
      </c>
      <c r="E29" s="4" vm="1418">
        <f t="shared" si="0"/>
        <v>4416</v>
      </c>
      <c r="F29" s="4" t="str">
        <f t="shared" si="1"/>
        <v>Small (&lt;5k)</v>
      </c>
    </row>
    <row r="30" spans="2:6" x14ac:dyDescent="0.2">
      <c r="B30" s="49" t="str" vm="656">
        <f>CUBEMEMBER("ThisWorkbookDataModel","[TPData].[Client].&amp;[Client 125]")</f>
        <v>Client 125</v>
      </c>
      <c r="C30" s="49" t="str" vm="462">
        <f>CUBEMEMBER("ThisWorkbookDataModel",{"[TPData].[Client].&amp;[Client 125]","[TPData].[Close Month].&amp;[2019-01-01T00:00:00]"})</f>
        <v>1/1/2019</v>
      </c>
      <c r="D30" s="49" t="str">
        <f>INDEX(TPData[Sales Rep],MATCH('Deal Size Analysis'!$B30,TPData[Client],FALSE))</f>
        <v>Rep 21</v>
      </c>
      <c r="E30" s="4" vm="1432">
        <f t="shared" si="0"/>
        <v>3840.0767999999998</v>
      </c>
      <c r="F30" s="4" t="str">
        <f t="shared" si="1"/>
        <v>Small (&lt;5k)</v>
      </c>
    </row>
    <row r="31" spans="2:6" x14ac:dyDescent="0.2">
      <c r="B31" s="49" t="str" vm="961">
        <f>CUBEMEMBER("ThisWorkbookDataModel","[TPData].[Client].&amp;[Client 126]")</f>
        <v>Client 126</v>
      </c>
      <c r="C31" s="49" t="str" vm="875">
        <f>CUBEMEMBER("ThisWorkbookDataModel",{"[TPData].[Client].&amp;[Client 126]","[TPData].[Close Month].&amp;[2019-02-01T00:00:00]"})</f>
        <v>2/1/2019</v>
      </c>
      <c r="D31" s="49" t="str">
        <f>INDEX(TPData[Sales Rep],MATCH('Deal Size Analysis'!$B31,TPData[Client],FALSE))</f>
        <v>Rep 21</v>
      </c>
      <c r="E31" s="4" vm="1297">
        <f t="shared" si="0"/>
        <v>1560</v>
      </c>
      <c r="F31" s="4" t="str">
        <f t="shared" si="1"/>
        <v>Small (&lt;5k)</v>
      </c>
    </row>
    <row r="32" spans="2:6" x14ac:dyDescent="0.2">
      <c r="B32" s="49" t="str" vm="655">
        <f>CUBEMEMBER("ThisWorkbookDataModel","[TPData].[Client].&amp;[Client 127]")</f>
        <v>Client 127</v>
      </c>
      <c r="C32" s="49" t="str" vm="461">
        <f>CUBEMEMBER("ThisWorkbookDataModel",{"[TPData].[Client].&amp;[Client 127]","[TPData].[Close Month].&amp;[2019-03-01T00:00:00]"})</f>
        <v>3/1/2019</v>
      </c>
      <c r="D32" s="49" t="str">
        <f>INDEX(TPData[Sales Rep],MATCH('Deal Size Analysis'!$B32,TPData[Client],FALSE))</f>
        <v>Rep 21</v>
      </c>
      <c r="E32" s="4" vm="1163">
        <f t="shared" si="0"/>
        <v>8064</v>
      </c>
      <c r="F32" s="4" t="str">
        <f t="shared" si="1"/>
        <v>Medium (&lt;10k)</v>
      </c>
    </row>
    <row r="33" spans="2:6" x14ac:dyDescent="0.2">
      <c r="B33" s="49" t="str" vm="788">
        <f>CUBEMEMBER("ThisWorkbookDataModel","[TPData].[Client].&amp;[Client 128]")</f>
        <v>Client 128</v>
      </c>
      <c r="C33" s="49" t="str" vm="1047">
        <f>CUBEMEMBER("ThisWorkbookDataModel",{"[TPData].[Client].&amp;[Client 128]","[TPData].[Close Month].&amp;[2019-03-01T00:00:00]"})</f>
        <v>3/1/2019</v>
      </c>
      <c r="D33" s="49" t="str">
        <f>INDEX(TPData[Sales Rep],MATCH('Deal Size Analysis'!$B33,TPData[Client],FALSE))</f>
        <v>Rep 21</v>
      </c>
      <c r="E33" s="4" vm="1417">
        <f t="shared" si="0"/>
        <v>2730</v>
      </c>
      <c r="F33" s="4" t="str">
        <f t="shared" si="1"/>
        <v>Small (&lt;5k)</v>
      </c>
    </row>
    <row r="34" spans="2:6" x14ac:dyDescent="0.2">
      <c r="B34" s="49" t="str" vm="654">
        <f>CUBEMEMBER("ThisWorkbookDataModel","[TPData].[Client].&amp;[Client 129]")</f>
        <v>Client 129</v>
      </c>
      <c r="C34" s="49" t="str" vm="460">
        <f>CUBEMEMBER("ThisWorkbookDataModel",{"[TPData].[Client].&amp;[Client 129]","[TPData].[Close Month].&amp;[2019-04-01T00:00:00]"})</f>
        <v>4/1/2019</v>
      </c>
      <c r="D34" s="49" t="str">
        <f>INDEX(TPData[Sales Rep],MATCH('Deal Size Analysis'!$B34,TPData[Client],FALSE))</f>
        <v>Rep 21</v>
      </c>
      <c r="E34" s="4" vm="1433">
        <f t="shared" si="0"/>
        <v>12720</v>
      </c>
      <c r="F34" s="4" t="str">
        <f t="shared" si="1"/>
        <v>Large (&lt;20k)</v>
      </c>
    </row>
    <row r="35" spans="2:6" x14ac:dyDescent="0.2">
      <c r="B35" s="49" t="str" vm="960">
        <f>CUBEMEMBER("ThisWorkbookDataModel","[TPData].[Client].&amp;[Client 130]")</f>
        <v>Client 130</v>
      </c>
      <c r="C35" s="49" t="str" vm="874">
        <f>CUBEMEMBER("ThisWorkbookDataModel",{"[TPData].[Client].&amp;[Client 130]","[TPData].[Close Month].&amp;[2019-04-01T00:00:00]"})</f>
        <v>4/1/2019</v>
      </c>
      <c r="D35" s="49" t="str">
        <f>INDEX(TPData[Sales Rep],MATCH('Deal Size Analysis'!$B35,TPData[Client],FALSE))</f>
        <v>Rep 21</v>
      </c>
      <c r="E35" s="4" vm="1296">
        <f t="shared" si="0"/>
        <v>7123.2000000000007</v>
      </c>
      <c r="F35" s="4" t="str">
        <f t="shared" si="1"/>
        <v>Medium (&lt;10k)</v>
      </c>
    </row>
    <row r="36" spans="2:6" x14ac:dyDescent="0.2">
      <c r="B36" s="49" t="str" vm="653">
        <f>CUBEMEMBER("ThisWorkbookDataModel","[TPData].[Client].&amp;[Client 131]")</f>
        <v>Client 131</v>
      </c>
      <c r="C36" s="49" t="str" vm="459">
        <f>CUBEMEMBER("ThisWorkbookDataModel",{"[TPData].[Client].&amp;[Client 131]","[TPData].[Close Month].&amp;[2019-04-01T00:00:00]"})</f>
        <v>4/1/2019</v>
      </c>
      <c r="D36" s="49" t="str">
        <f>INDEX(TPData[Sales Rep],MATCH('Deal Size Analysis'!$B36,TPData[Client],FALSE))</f>
        <v>Rep 21</v>
      </c>
      <c r="E36" s="4" vm="1434">
        <f t="shared" si="0"/>
        <v>6600.0000000000009</v>
      </c>
      <c r="F36" s="4" t="str">
        <f t="shared" si="1"/>
        <v>Medium (&lt;10k)</v>
      </c>
    </row>
    <row r="37" spans="2:6" x14ac:dyDescent="0.2">
      <c r="B37" s="49" t="str" vm="787">
        <f>CUBEMEMBER("ThisWorkbookDataModel","[TPData].[Client].&amp;[Client 132]")</f>
        <v>Client 132</v>
      </c>
      <c r="C37" s="49" t="str" vm="1046">
        <f>CUBEMEMBER("ThisWorkbookDataModel",{"[TPData].[Client].&amp;[Client 132]","[TPData].[Close Month].&amp;[2019-04-01T00:00:00]"})</f>
        <v>4/1/2019</v>
      </c>
      <c r="D37" s="49" t="str">
        <f>INDEX(TPData[Sales Rep],MATCH('Deal Size Analysis'!$B37,TPData[Client],FALSE))</f>
        <v>Rep 21</v>
      </c>
      <c r="E37" s="4" vm="1416">
        <f t="shared" si="0"/>
        <v>8324.16</v>
      </c>
      <c r="F37" s="4" t="str">
        <f t="shared" si="1"/>
        <v>Medium (&lt;10k)</v>
      </c>
    </row>
    <row r="38" spans="2:6" x14ac:dyDescent="0.2">
      <c r="B38" s="49" t="str" vm="652">
        <f>CUBEMEMBER("ThisWorkbookDataModel","[TPData].[Client].&amp;[Client 133]")</f>
        <v>Client 133</v>
      </c>
      <c r="C38" s="49" t="str" vm="458">
        <f>CUBEMEMBER("ThisWorkbookDataModel",{"[TPData].[Client].&amp;[Client 133]","[TPData].[Close Month].&amp;[2019-04-01T00:00:00]"})</f>
        <v>4/1/2019</v>
      </c>
      <c r="D38" s="49" t="str">
        <f>INDEX(TPData[Sales Rep],MATCH('Deal Size Analysis'!$B38,TPData[Client],FALSE))</f>
        <v>Rep 21</v>
      </c>
      <c r="E38" s="4" vm="1435">
        <f t="shared" si="0"/>
        <v>7557.5999999999995</v>
      </c>
      <c r="F38" s="4" t="str">
        <f t="shared" si="1"/>
        <v>Medium (&lt;10k)</v>
      </c>
    </row>
    <row r="39" spans="2:6" x14ac:dyDescent="0.2">
      <c r="B39" s="49" t="str" vm="959">
        <f>CUBEMEMBER("ThisWorkbookDataModel","[TPData].[Client].&amp;[Client 134]")</f>
        <v>Client 134</v>
      </c>
      <c r="C39" s="49" t="str" vm="873">
        <f>CUBEMEMBER("ThisWorkbookDataModel",{"[TPData].[Client].&amp;[Client 134]","[TPData].[Close Month].&amp;[2019-04-01T00:00:00]"})</f>
        <v>4/1/2019</v>
      </c>
      <c r="D39" s="49" t="str">
        <f>INDEX(TPData[Sales Rep],MATCH('Deal Size Analysis'!$B39,TPData[Client],FALSE))</f>
        <v>Rep 21</v>
      </c>
      <c r="E39" s="4" vm="1295">
        <f t="shared" si="0"/>
        <v>2670.7200000000003</v>
      </c>
      <c r="F39" s="4" t="str">
        <f t="shared" si="1"/>
        <v>Small (&lt;5k)</v>
      </c>
    </row>
    <row r="40" spans="2:6" x14ac:dyDescent="0.2">
      <c r="B40" s="49" t="str" vm="651">
        <f>CUBEMEMBER("ThisWorkbookDataModel","[TPData].[Client].&amp;[Client 135]")</f>
        <v>Client 135</v>
      </c>
      <c r="C40" s="49" t="str" vm="457">
        <f>CUBEMEMBER("ThisWorkbookDataModel",{"[TPData].[Client].&amp;[Client 135]","[TPData].[Close Month].&amp;[2019-05-01T00:00:00]"})</f>
        <v>5/1/2019</v>
      </c>
      <c r="D40" s="49" t="str">
        <f>INDEX(TPData[Sales Rep],MATCH('Deal Size Analysis'!$B40,TPData[Client],FALSE))</f>
        <v>Rep 21</v>
      </c>
      <c r="E40" s="4" vm="1436">
        <f t="shared" si="0"/>
        <v>8568</v>
      </c>
      <c r="F40" s="4" t="str">
        <f t="shared" si="1"/>
        <v>Medium (&lt;10k)</v>
      </c>
    </row>
    <row r="41" spans="2:6" x14ac:dyDescent="0.2">
      <c r="B41" s="49" t="str" vm="786">
        <f>CUBEMEMBER("ThisWorkbookDataModel","[TPData].[Client].&amp;[Client 136]")</f>
        <v>Client 136</v>
      </c>
      <c r="C41" s="49" t="str" vm="1045">
        <f>CUBEMEMBER("ThisWorkbookDataModel",{"[TPData].[Client].&amp;[Client 136]","[TPData].[Close Month].&amp;[2019-05-01T00:00:00]"})</f>
        <v>5/1/2019</v>
      </c>
      <c r="D41" s="49" t="str">
        <f>INDEX(TPData[Sales Rep],MATCH('Deal Size Analysis'!$B41,TPData[Client],FALSE))</f>
        <v>Rep 21</v>
      </c>
      <c r="E41" s="4" vm="1415">
        <f t="shared" si="0"/>
        <v>9332.4</v>
      </c>
      <c r="F41" s="4" t="str">
        <f t="shared" si="1"/>
        <v>Medium (&lt;10k)</v>
      </c>
    </row>
    <row r="42" spans="2:6" x14ac:dyDescent="0.2">
      <c r="B42" s="49" t="str" vm="650">
        <f>CUBEMEMBER("ThisWorkbookDataModel","[TPData].[Client].&amp;[Client 137]")</f>
        <v>Client 137</v>
      </c>
      <c r="C42" s="49" t="str" vm="456">
        <f>CUBEMEMBER("ThisWorkbookDataModel",{"[TPData].[Client].&amp;[Client 137]","[TPData].[Close Month].&amp;[2019-06-01T00:00:00]"})</f>
        <v>6/1/2019</v>
      </c>
      <c r="D42" s="49" t="str">
        <f>INDEX(TPData[Sales Rep],MATCH('Deal Size Analysis'!$B42,TPData[Client],FALSE))</f>
        <v>Rep 21</v>
      </c>
      <c r="E42" s="4" vm="1361">
        <f t="shared" si="0"/>
        <v>4896</v>
      </c>
      <c r="F42" s="4" t="str">
        <f t="shared" si="1"/>
        <v>Small (&lt;5k)</v>
      </c>
    </row>
    <row r="43" spans="2:6" x14ac:dyDescent="0.2">
      <c r="B43" s="49" t="str" vm="958">
        <f>CUBEMEMBER("ThisWorkbookDataModel","[TPData].[Client].&amp;[Client 138]")</f>
        <v>Client 138</v>
      </c>
      <c r="C43" s="49" t="str" vm="872">
        <f>CUBEMEMBER("ThisWorkbookDataModel",{"[TPData].[Client].&amp;[Client 138]","[TPData].[Close Month].&amp;[2019-06-01T00:00:00]"})</f>
        <v>6/1/2019</v>
      </c>
      <c r="D43" s="49" t="str">
        <f>INDEX(TPData[Sales Rep],MATCH('Deal Size Analysis'!$B43,TPData[Client],FALSE))</f>
        <v>Rep 21</v>
      </c>
      <c r="E43" s="4" vm="1294">
        <f t="shared" si="0"/>
        <v>2369.0412000000001</v>
      </c>
      <c r="F43" s="4" t="str">
        <f t="shared" si="1"/>
        <v>Small (&lt;5k)</v>
      </c>
    </row>
    <row r="44" spans="2:6" x14ac:dyDescent="0.2">
      <c r="B44" s="49" t="str" vm="649">
        <f>CUBEMEMBER("ThisWorkbookDataModel","[TPData].[Client].&amp;[Client 139]")</f>
        <v>Client 139</v>
      </c>
      <c r="C44" s="49" t="str" vm="455">
        <f>CUBEMEMBER("ThisWorkbookDataModel",{"[TPData].[Client].&amp;[Client 139]","[TPData].[Close Month].&amp;[2019-06-01T00:00:00]"})</f>
        <v>6/1/2019</v>
      </c>
      <c r="D44" s="49" t="str">
        <f>INDEX(TPData[Sales Rep],MATCH('Deal Size Analysis'!$B44,TPData[Client],FALSE))</f>
        <v>Rep 21</v>
      </c>
      <c r="E44" s="4" vm="1162">
        <f t="shared" si="0"/>
        <v>24010.800000000003</v>
      </c>
      <c r="F44" s="4" t="str">
        <f t="shared" si="1"/>
        <v>Mega (20k+)</v>
      </c>
    </row>
    <row r="45" spans="2:6" x14ac:dyDescent="0.2">
      <c r="B45" s="49" t="str" vm="785">
        <f>CUBEMEMBER("ThisWorkbookDataModel","[TPData].[Client].&amp;[Client 140]")</f>
        <v>Client 140</v>
      </c>
      <c r="C45" s="49" t="str" vm="1044">
        <f>CUBEMEMBER("ThisWorkbookDataModel",{"[TPData].[Client].&amp;[Client 140]","[TPData].[Close Month].&amp;[2019-06-01T00:00:00]"})</f>
        <v>6/1/2019</v>
      </c>
      <c r="D45" s="49" t="str">
        <f>INDEX(TPData[Sales Rep],MATCH('Deal Size Analysis'!$B45,TPData[Client],FALSE))</f>
        <v>Rep 21</v>
      </c>
      <c r="E45" s="4" vm="1414">
        <f t="shared" si="0"/>
        <v>9147.6</v>
      </c>
      <c r="F45" s="4" t="str">
        <f t="shared" si="1"/>
        <v>Medium (&lt;10k)</v>
      </c>
    </row>
    <row r="46" spans="2:6" x14ac:dyDescent="0.2">
      <c r="B46" s="49" t="str" vm="648">
        <f>CUBEMEMBER("ThisWorkbookDataModel","[TPData].[Client].&amp;[Client 141]")</f>
        <v>Client 141</v>
      </c>
      <c r="C46" s="49" t="str" vm="454">
        <f>CUBEMEMBER("ThisWorkbookDataModel",{"[TPData].[Client].&amp;[Client 141]","[TPData].[Close Month].&amp;[2019-06-01T00:00:00]"})</f>
        <v>6/1/2019</v>
      </c>
      <c r="D46" s="49" t="str">
        <f>INDEX(TPData[Sales Rep],MATCH('Deal Size Analysis'!$B46,TPData[Client],FALSE))</f>
        <v>Rep 21</v>
      </c>
      <c r="E46" s="4" vm="1437">
        <f t="shared" si="0"/>
        <v>16650.48</v>
      </c>
      <c r="F46" s="4" t="str">
        <f t="shared" si="1"/>
        <v>Large (&lt;20k)</v>
      </c>
    </row>
    <row r="47" spans="2:6" x14ac:dyDescent="0.2">
      <c r="B47" s="49" t="str" vm="957">
        <f>CUBEMEMBER("ThisWorkbookDataModel","[TPData].[Client].&amp;[Client 142]")</f>
        <v>Client 142</v>
      </c>
      <c r="C47" s="49" t="str" vm="871">
        <f>CUBEMEMBER("ThisWorkbookDataModel",{"[TPData].[Client].&amp;[Client 142]","[TPData].[Close Month].&amp;[2019-06-01T00:00:00]"})</f>
        <v>6/1/2019</v>
      </c>
      <c r="D47" s="49" t="str">
        <f>INDEX(TPData[Sales Rep],MATCH('Deal Size Analysis'!$B47,TPData[Client],FALSE))</f>
        <v>Rep 21</v>
      </c>
      <c r="E47" s="4" vm="1293">
        <f t="shared" si="0"/>
        <v>3240</v>
      </c>
      <c r="F47" s="4" t="str">
        <f t="shared" si="1"/>
        <v>Small (&lt;5k)</v>
      </c>
    </row>
    <row r="48" spans="2:6" x14ac:dyDescent="0.2">
      <c r="B48" s="49" t="str" vm="647">
        <f>CUBEMEMBER("ThisWorkbookDataModel","[TPData].[Client].&amp;[Client 143]")</f>
        <v>Client 143</v>
      </c>
      <c r="C48" s="49" t="str" vm="453">
        <f>CUBEMEMBER("ThisWorkbookDataModel",{"[TPData].[Client].&amp;[Client 143]","[TPData].[Close Month].&amp;[2018-07-01T00:00:00]"})</f>
        <v>7/1/2018</v>
      </c>
      <c r="D48" s="49" t="str">
        <f>INDEX(TPData[Sales Rep],MATCH('Deal Size Analysis'!$B48,TPData[Client],FALSE))</f>
        <v>Rep 34</v>
      </c>
      <c r="E48" s="4" vm="1058">
        <f t="shared" si="0"/>
        <v>15680.0784</v>
      </c>
      <c r="F48" s="4" t="str">
        <f t="shared" si="1"/>
        <v>Large (&lt;20k)</v>
      </c>
    </row>
    <row r="49" spans="2:6" x14ac:dyDescent="0.2">
      <c r="B49" s="49" t="str" vm="784">
        <f>CUBEMEMBER("ThisWorkbookDataModel","[TPData].[Client].&amp;[Client 144]")</f>
        <v>Client 144</v>
      </c>
      <c r="C49" s="49" t="str" vm="1043">
        <f>CUBEMEMBER("ThisWorkbookDataModel",{"[TPData].[Client].&amp;[Client 144]","[TPData].[Close Month].&amp;[2018-07-01T00:00:00]"})</f>
        <v>7/1/2018</v>
      </c>
      <c r="D49" s="49" t="str">
        <f>INDEX(TPData[Sales Rep],MATCH('Deal Size Analysis'!$B49,TPData[Client],FALSE))</f>
        <v>Rep 34</v>
      </c>
      <c r="E49" s="4" vm="1413">
        <f t="shared" si="0"/>
        <v>1284</v>
      </c>
      <c r="F49" s="4" t="str">
        <f t="shared" si="1"/>
        <v>Small (&lt;5k)</v>
      </c>
    </row>
    <row r="50" spans="2:6" x14ac:dyDescent="0.2">
      <c r="B50" s="49" t="str" vm="646">
        <f>CUBEMEMBER("ThisWorkbookDataModel","[TPData].[Client].&amp;[Client 145]")</f>
        <v>Client 145</v>
      </c>
      <c r="C50" s="49" t="str" vm="452">
        <f>CUBEMEMBER("ThisWorkbookDataModel",{"[TPData].[Client].&amp;[Client 145]","[TPData].[Close Month].&amp;[2018-07-01T00:00:00]"})</f>
        <v>7/1/2018</v>
      </c>
      <c r="D50" s="49" t="str">
        <f>INDEX(TPData[Sales Rep],MATCH('Deal Size Analysis'!$B50,TPData[Client],FALSE))</f>
        <v>Rep 34</v>
      </c>
      <c r="E50" s="4" vm="1438">
        <f t="shared" si="0"/>
        <v>12720</v>
      </c>
      <c r="F50" s="4" t="str">
        <f t="shared" si="1"/>
        <v>Large (&lt;20k)</v>
      </c>
    </row>
    <row r="51" spans="2:6" x14ac:dyDescent="0.2">
      <c r="B51" s="49" t="str" vm="956">
        <f>CUBEMEMBER("ThisWorkbookDataModel","[TPData].[Client].&amp;[Client 146]")</f>
        <v>Client 146</v>
      </c>
      <c r="C51" s="49" t="str" vm="870">
        <f>CUBEMEMBER("ThisWorkbookDataModel",{"[TPData].[Client].&amp;[Client 146]","[TPData].[Close Month].&amp;[2018-07-01T00:00:00]"})</f>
        <v>7/1/2018</v>
      </c>
      <c r="D51" s="49" t="str">
        <f>INDEX(TPData[Sales Rep],MATCH('Deal Size Analysis'!$B51,TPData[Client],FALSE))</f>
        <v>Rep 34</v>
      </c>
      <c r="E51" s="4" vm="1292">
        <f t="shared" si="0"/>
        <v>2208</v>
      </c>
      <c r="F51" s="4" t="str">
        <f t="shared" si="1"/>
        <v>Small (&lt;5k)</v>
      </c>
    </row>
    <row r="52" spans="2:6" x14ac:dyDescent="0.2">
      <c r="B52" s="49" t="str" vm="645">
        <f>CUBEMEMBER("ThisWorkbookDataModel","[TPData].[Client].&amp;[Client 147]")</f>
        <v>Client 147</v>
      </c>
      <c r="C52" s="49" t="str" vm="451">
        <f>CUBEMEMBER("ThisWorkbookDataModel",{"[TPData].[Client].&amp;[Client 147]","[TPData].[Close Month].&amp;[2018-07-01T00:00:00]"})</f>
        <v>7/1/2018</v>
      </c>
      <c r="D52" s="49" t="str">
        <f>INDEX(TPData[Sales Rep],MATCH('Deal Size Analysis'!$B52,TPData[Client],FALSE))</f>
        <v>Rep 34</v>
      </c>
      <c r="E52" s="4" vm="1439">
        <f t="shared" si="0"/>
        <v>2568</v>
      </c>
      <c r="F52" s="4" t="str">
        <f t="shared" si="1"/>
        <v>Small (&lt;5k)</v>
      </c>
    </row>
    <row r="53" spans="2:6" x14ac:dyDescent="0.2">
      <c r="B53" s="49" t="str" vm="783">
        <f>CUBEMEMBER("ThisWorkbookDataModel","[TPData].[Client].&amp;[Client 148]")</f>
        <v>Client 148</v>
      </c>
      <c r="C53" s="49" t="str" vm="1042">
        <f>CUBEMEMBER("ThisWorkbookDataModel",{"[TPData].[Client].&amp;[Client 148]","[TPData].[Close Month].&amp;[2018-07-01T00:00:00]"})</f>
        <v>7/1/2018</v>
      </c>
      <c r="D53" s="49" t="str">
        <f>INDEX(TPData[Sales Rep],MATCH('Deal Size Analysis'!$B53,TPData[Client],FALSE))</f>
        <v>Rep 34</v>
      </c>
      <c r="E53" s="4" vm="1412">
        <f t="shared" si="0"/>
        <v>3120</v>
      </c>
      <c r="F53" s="4" t="str">
        <f t="shared" si="1"/>
        <v>Small (&lt;5k)</v>
      </c>
    </row>
    <row r="54" spans="2:6" x14ac:dyDescent="0.2">
      <c r="B54" s="49" t="str" vm="644">
        <f>CUBEMEMBER("ThisWorkbookDataModel","[TPData].[Client].&amp;[Client 149]")</f>
        <v>Client 149</v>
      </c>
      <c r="C54" s="49" t="str" vm="450">
        <f>CUBEMEMBER("ThisWorkbookDataModel",{"[TPData].[Client].&amp;[Client 149]","[TPData].[Close Month].&amp;[2018-08-01T00:00:00]"})</f>
        <v>8/1/2018</v>
      </c>
      <c r="D54" s="49" t="str">
        <f>INDEX(TPData[Sales Rep],MATCH('Deal Size Analysis'!$B54,TPData[Client],FALSE))</f>
        <v>Rep 34</v>
      </c>
      <c r="E54" s="4" vm="1308">
        <f t="shared" si="0"/>
        <v>3300.0000000000005</v>
      </c>
      <c r="F54" s="4" t="str">
        <f t="shared" si="1"/>
        <v>Small (&lt;5k)</v>
      </c>
    </row>
    <row r="55" spans="2:6" x14ac:dyDescent="0.2">
      <c r="B55" s="49" t="str" vm="955">
        <f>CUBEMEMBER("ThisWorkbookDataModel","[TPData].[Client].&amp;[Client 150]")</f>
        <v>Client 150</v>
      </c>
      <c r="C55" s="49" t="str" vm="869">
        <f>CUBEMEMBER("ThisWorkbookDataModel",{"[TPData].[Client].&amp;[Client 150]","[TPData].[Close Month].&amp;[2018-08-01T00:00:00]"})</f>
        <v>8/1/2018</v>
      </c>
      <c r="D55" s="49" t="str">
        <f>INDEX(TPData[Sales Rep],MATCH('Deal Size Analysis'!$B55,TPData[Client],FALSE))</f>
        <v>Rep 34</v>
      </c>
      <c r="E55" s="4" vm="1291">
        <f t="shared" si="0"/>
        <v>4512</v>
      </c>
      <c r="F55" s="4" t="str">
        <f t="shared" si="1"/>
        <v>Small (&lt;5k)</v>
      </c>
    </row>
    <row r="56" spans="2:6" x14ac:dyDescent="0.2">
      <c r="B56" s="49" t="str" vm="643">
        <f>CUBEMEMBER("ThisWorkbookDataModel","[TPData].[Client].&amp;[Client 151]")</f>
        <v>Client 151</v>
      </c>
      <c r="C56" s="49" t="str" vm="449">
        <f>CUBEMEMBER("ThisWorkbookDataModel",{"[TPData].[Client].&amp;[Client 151]","[TPData].[Close Month].&amp;[2018-08-01T00:00:00]"})</f>
        <v>8/1/2018</v>
      </c>
      <c r="D56" s="49" t="str">
        <f>INDEX(TPData[Sales Rep],MATCH('Deal Size Analysis'!$B56,TPData[Client],FALSE))</f>
        <v>Rep 34</v>
      </c>
      <c r="E56" s="4" vm="1440">
        <f t="shared" si="0"/>
        <v>2730</v>
      </c>
      <c r="F56" s="4" t="str">
        <f t="shared" si="1"/>
        <v>Small (&lt;5k)</v>
      </c>
    </row>
    <row r="57" spans="2:6" x14ac:dyDescent="0.2">
      <c r="B57" s="49" t="str" vm="782">
        <f>CUBEMEMBER("ThisWorkbookDataModel","[TPData].[Client].&amp;[Client 152]")</f>
        <v>Client 152</v>
      </c>
      <c r="C57" s="49" t="str" vm="1041">
        <f>CUBEMEMBER("ThisWorkbookDataModel",{"[TPData].[Client].&amp;[Client 152]","[TPData].[Close Month].&amp;[2018-09-01T00:00:00]"})</f>
        <v>9/1/2018</v>
      </c>
      <c r="D57" s="49" t="str">
        <f>INDEX(TPData[Sales Rep],MATCH('Deal Size Analysis'!$B57,TPData[Client],FALSE))</f>
        <v>Rep 34</v>
      </c>
      <c r="E57" s="4" vm="1411">
        <f t="shared" si="0"/>
        <v>7603.2</v>
      </c>
      <c r="F57" s="4" t="str">
        <f t="shared" si="1"/>
        <v>Medium (&lt;10k)</v>
      </c>
    </row>
    <row r="58" spans="2:6" x14ac:dyDescent="0.2">
      <c r="B58" s="49" t="str" vm="642">
        <f>CUBEMEMBER("ThisWorkbookDataModel","[TPData].[Client].&amp;[Client 153]")</f>
        <v>Client 153</v>
      </c>
      <c r="C58" s="49" t="str" vm="448">
        <f>CUBEMEMBER("ThisWorkbookDataModel",{"[TPData].[Client].&amp;[Client 153]","[TPData].[Close Month].&amp;[2018-09-01T00:00:00]"})</f>
        <v>9/1/2018</v>
      </c>
      <c r="D58" s="49" t="str">
        <f>INDEX(TPData[Sales Rep],MATCH('Deal Size Analysis'!$B58,TPData[Client],FALSE))</f>
        <v>Rep 34</v>
      </c>
      <c r="E58" s="4" vm="1161">
        <f t="shared" si="0"/>
        <v>6360</v>
      </c>
      <c r="F58" s="4" t="str">
        <f t="shared" si="1"/>
        <v>Medium (&lt;10k)</v>
      </c>
    </row>
    <row r="59" spans="2:6" x14ac:dyDescent="0.2">
      <c r="B59" s="49" t="str" vm="954">
        <f>CUBEMEMBER("ThisWorkbookDataModel","[TPData].[Client].&amp;[Client 154]")</f>
        <v>Client 154</v>
      </c>
      <c r="C59" s="49" t="str" vm="868">
        <f>CUBEMEMBER("ThisWorkbookDataModel",{"[TPData].[Client].&amp;[Client 154]","[TPData].[Close Month].&amp;[2018-09-01T00:00:00]"})</f>
        <v>9/1/2018</v>
      </c>
      <c r="D59" s="49" t="str">
        <f>INDEX(TPData[Sales Rep],MATCH('Deal Size Analysis'!$B59,TPData[Client],FALSE))</f>
        <v>Rep 34</v>
      </c>
      <c r="E59" s="4" vm="1290">
        <f t="shared" si="0"/>
        <v>8236.7999999999993</v>
      </c>
      <c r="F59" s="4" t="str">
        <f t="shared" si="1"/>
        <v>Medium (&lt;10k)</v>
      </c>
    </row>
    <row r="60" spans="2:6" x14ac:dyDescent="0.2">
      <c r="B60" s="49" t="str" vm="641">
        <f>CUBEMEMBER("ThisWorkbookDataModel","[TPData].[Client].&amp;[Client 155]")</f>
        <v>Client 155</v>
      </c>
      <c r="C60" s="49" t="str" vm="447">
        <f>CUBEMEMBER("ThisWorkbookDataModel",{"[TPData].[Client].&amp;[Client 155]","[TPData].[Close Month].&amp;[2018-09-01T00:00:00]"})</f>
        <v>9/1/2018</v>
      </c>
      <c r="D60" s="49" t="str">
        <f>INDEX(TPData[Sales Rep],MATCH('Deal Size Analysis'!$B60,TPData[Client],FALSE))</f>
        <v>Rep 34</v>
      </c>
      <c r="E60" s="4" vm="1441">
        <f t="shared" si="0"/>
        <v>4992</v>
      </c>
      <c r="F60" s="4" t="str">
        <f t="shared" si="1"/>
        <v>Small (&lt;5k)</v>
      </c>
    </row>
    <row r="61" spans="2:6" x14ac:dyDescent="0.2">
      <c r="B61" s="49" t="str" vm="781">
        <f>CUBEMEMBER("ThisWorkbookDataModel","[TPData].[Client].&amp;[Client 156]")</f>
        <v>Client 156</v>
      </c>
      <c r="C61" s="49" t="str" vm="1040">
        <f>CUBEMEMBER("ThisWorkbookDataModel",{"[TPData].[Client].&amp;[Client 156]","[TPData].[Close Month].&amp;[2018-09-01T00:00:00]"})</f>
        <v>9/1/2018</v>
      </c>
      <c r="D61" s="49" t="str">
        <f>INDEX(TPData[Sales Rep],MATCH('Deal Size Analysis'!$B61,TPData[Client],FALSE))</f>
        <v>Rep 34</v>
      </c>
      <c r="E61" s="4" vm="1410">
        <f t="shared" si="0"/>
        <v>1890</v>
      </c>
      <c r="F61" s="4" t="str">
        <f t="shared" si="1"/>
        <v>Small (&lt;5k)</v>
      </c>
    </row>
    <row r="62" spans="2:6" x14ac:dyDescent="0.2">
      <c r="B62" s="49" t="str" vm="640">
        <f>CUBEMEMBER("ThisWorkbookDataModel","[TPData].[Client].&amp;[Client 157]")</f>
        <v>Client 157</v>
      </c>
      <c r="C62" s="49" t="str" vm="446">
        <f>CUBEMEMBER("ThisWorkbookDataModel",{"[TPData].[Client].&amp;[Client 157]","[TPData].[Close Month].&amp;[2018-09-01T00:00:00]"})</f>
        <v>9/1/2018</v>
      </c>
      <c r="D62" s="49" t="str">
        <f>INDEX(TPData[Sales Rep],MATCH('Deal Size Analysis'!$B62,TPData[Client],FALSE))</f>
        <v>Rep 34</v>
      </c>
      <c r="E62" s="4" vm="1442">
        <f t="shared" si="0"/>
        <v>6739.2</v>
      </c>
      <c r="F62" s="4" t="str">
        <f t="shared" si="1"/>
        <v>Medium (&lt;10k)</v>
      </c>
    </row>
    <row r="63" spans="2:6" x14ac:dyDescent="0.2">
      <c r="B63" s="49" t="str" vm="953">
        <f>CUBEMEMBER("ThisWorkbookDataModel","[TPData].[Client].&amp;[Client 158]")</f>
        <v>Client 158</v>
      </c>
      <c r="C63" s="49" t="str" vm="867">
        <f>CUBEMEMBER("ThisWorkbookDataModel",{"[TPData].[Client].&amp;[Client 158]","[TPData].[Close Month].&amp;[2018-09-01T00:00:00]"})</f>
        <v>9/1/2018</v>
      </c>
      <c r="D63" s="49" t="str">
        <f>INDEX(TPData[Sales Rep],MATCH('Deal Size Analysis'!$B63,TPData[Client],FALSE))</f>
        <v>Rep 34</v>
      </c>
      <c r="E63" s="4" vm="1289">
        <f t="shared" si="0"/>
        <v>4620</v>
      </c>
      <c r="F63" s="4" t="str">
        <f t="shared" si="1"/>
        <v>Small (&lt;5k)</v>
      </c>
    </row>
    <row r="64" spans="2:6" x14ac:dyDescent="0.2">
      <c r="B64" s="49" t="str" vm="281">
        <f>CUBEMEMBER("ThisWorkbookDataModel","[TPData].[Client].&amp;[Client 159]")</f>
        <v>Client 159</v>
      </c>
      <c r="C64" s="49" t="str" vm="639">
        <f>CUBEMEMBER("ThisWorkbookDataModel",{"[TPData].[Client].&amp;[Client 159]","[TPData].[Close Month].&amp;[2018-10-01T00:00:00]"})</f>
        <v>10/1/2018</v>
      </c>
      <c r="D64" s="49" t="str">
        <f>INDEX(TPData[Sales Rep],MATCH('Deal Size Analysis'!$B64,TPData[Client],FALSE))</f>
        <v>Rep 34</v>
      </c>
      <c r="E64" s="4" vm="1152">
        <f t="shared" si="0"/>
        <v>3300.0000000000005</v>
      </c>
      <c r="F64" s="4" t="str">
        <f t="shared" si="1"/>
        <v>Small (&lt;5k)</v>
      </c>
    </row>
    <row r="65" spans="2:6" x14ac:dyDescent="0.2">
      <c r="B65" s="49" t="str" vm="445">
        <f>CUBEMEMBER("ThisWorkbookDataModel","[TPData].[Client].&amp;[Client 160]")</f>
        <v>Client 160</v>
      </c>
      <c r="C65" s="49" t="str" vm="780">
        <f>CUBEMEMBER("ThisWorkbookDataModel",{"[TPData].[Client].&amp;[Client 160]","[TPData].[Close Month].&amp;[2018-10-01T00:00:00]"})</f>
        <v>10/1/2018</v>
      </c>
      <c r="D65" s="49" t="str">
        <f>INDEX(TPData[Sales Rep],MATCH('Deal Size Analysis'!$B65,TPData[Client],FALSE))</f>
        <v>Rep 34</v>
      </c>
      <c r="E65" s="4" vm="1237">
        <f t="shared" si="0"/>
        <v>6840</v>
      </c>
      <c r="F65" s="4" t="str">
        <f t="shared" si="1"/>
        <v>Medium (&lt;10k)</v>
      </c>
    </row>
    <row r="66" spans="2:6" x14ac:dyDescent="0.2">
      <c r="B66" s="49" t="str" vm="280">
        <f>CUBEMEMBER("ThisWorkbookDataModel","[TPData].[Client].&amp;[Client 161]")</f>
        <v>Client 161</v>
      </c>
      <c r="C66" s="49" t="str" vm="1039">
        <f>CUBEMEMBER("ThisWorkbookDataModel",{"[TPData].[Client].&amp;[Client 161]","[TPData].[Close Month].&amp;[2018-10-01T00:00:00]"})</f>
        <v>10/1/2018</v>
      </c>
      <c r="D66" s="49" t="str">
        <f>INDEX(TPData[Sales Rep],MATCH('Deal Size Analysis'!$B66,TPData[Client],FALSE))</f>
        <v>Rep 34</v>
      </c>
      <c r="E66" s="4" vm="1409">
        <f t="shared" si="0"/>
        <v>3120</v>
      </c>
      <c r="F66" s="4" t="str">
        <f t="shared" si="1"/>
        <v>Small (&lt;5k)</v>
      </c>
    </row>
    <row r="67" spans="2:6" x14ac:dyDescent="0.2">
      <c r="B67" s="49" t="str" vm="638">
        <f>CUBEMEMBER("ThisWorkbookDataModel","[TPData].[Client].&amp;[Client 162]")</f>
        <v>Client 162</v>
      </c>
      <c r="C67" s="49" t="str" vm="444">
        <f>CUBEMEMBER("ThisWorkbookDataModel",{"[TPData].[Client].&amp;[Client 162]","[TPData].[Close Month].&amp;[2018-10-01T00:00:00]"})</f>
        <v>10/1/2018</v>
      </c>
      <c r="D67" s="49" t="str">
        <f>INDEX(TPData[Sales Rep],MATCH('Deal Size Analysis'!$B67,TPData[Client],FALSE))</f>
        <v>Rep 34</v>
      </c>
      <c r="E67" s="4" vm="1443">
        <f t="shared" si="0"/>
        <v>3816</v>
      </c>
      <c r="F67" s="4" t="str">
        <f t="shared" si="1"/>
        <v>Small (&lt;5k)</v>
      </c>
    </row>
    <row r="68" spans="2:6" x14ac:dyDescent="0.2">
      <c r="B68" s="49" t="str" vm="279">
        <f>CUBEMEMBER("ThisWorkbookDataModel","[TPData].[Client].&amp;[Client 163]")</f>
        <v>Client 163</v>
      </c>
      <c r="C68" s="49" t="str" vm="952">
        <f>CUBEMEMBER("ThisWorkbookDataModel",{"[TPData].[Client].&amp;[Client 163]","[TPData].[Close Month].&amp;[2018-10-01T00:00:00]"})</f>
        <v>10/1/2018</v>
      </c>
      <c r="D68" s="49" t="str">
        <f>INDEX(TPData[Sales Rep],MATCH('Deal Size Analysis'!$B68,TPData[Client],FALSE))</f>
        <v>Rep 34</v>
      </c>
      <c r="E68" s="4" vm="1355">
        <f t="shared" si="0"/>
        <v>7488</v>
      </c>
      <c r="F68" s="4" t="str">
        <f t="shared" si="1"/>
        <v>Medium (&lt;10k)</v>
      </c>
    </row>
    <row r="69" spans="2:6" x14ac:dyDescent="0.2">
      <c r="B69" s="49" t="str" vm="866">
        <f>CUBEMEMBER("ThisWorkbookDataModel","[TPData].[Client].&amp;[Client 164]")</f>
        <v>Client 164</v>
      </c>
      <c r="C69" s="49" t="str" vm="637">
        <f>CUBEMEMBER("ThisWorkbookDataModel",{"[TPData].[Client].&amp;[Client 164]","[TPData].[Close Month].&amp;[2018-10-01T00:00:00]"})</f>
        <v>10/1/2018</v>
      </c>
      <c r="D69" s="49" t="str">
        <f>INDEX(TPData[Sales Rep],MATCH('Deal Size Analysis'!$B69,TPData[Client],FALSE))</f>
        <v>Rep 34</v>
      </c>
      <c r="E69" s="4" vm="1241">
        <f t="shared" ref="E69:E132" si="6">CUBEVALUE("ThisWorkbookDataModel",$C69,E$4)</f>
        <v>5460</v>
      </c>
      <c r="F69" s="4" t="str">
        <f t="shared" si="1"/>
        <v>Medium (&lt;10k)</v>
      </c>
    </row>
    <row r="70" spans="2:6" x14ac:dyDescent="0.2">
      <c r="B70" s="49" t="str" vm="278">
        <f>CUBEMEMBER("ThisWorkbookDataModel","[TPData].[Client].&amp;[Client 165]")</f>
        <v>Client 165</v>
      </c>
      <c r="C70" s="49" t="str" vm="443">
        <f>CUBEMEMBER("ThisWorkbookDataModel",{"[TPData].[Client].&amp;[Client 165]","[TPData].[Close Month].&amp;[2018-10-01T00:00:00]"})</f>
        <v>10/1/2018</v>
      </c>
      <c r="D70" s="49" t="str">
        <f>INDEX(TPData[Sales Rep],MATCH('Deal Size Analysis'!$B70,TPData[Client],FALSE))</f>
        <v>Rep 34</v>
      </c>
      <c r="E70" s="4" vm="1444">
        <f t="shared" si="6"/>
        <v>46200.000000000007</v>
      </c>
      <c r="F70" s="4" t="str">
        <f t="shared" ref="F70:F133" si="7">IF(E70&lt;=5000,$H$9,IF((E70&lt;10000),$H$10,IF((E70&lt;20000),$H$11,IF((E70&gt;=20000),$H$12))))</f>
        <v>Mega (20k+)</v>
      </c>
    </row>
    <row r="71" spans="2:6" x14ac:dyDescent="0.2">
      <c r="B71" s="49" t="str" vm="779">
        <f>CUBEMEMBER("ThisWorkbookDataModel","[TPData].[Client].&amp;[Client 166]")</f>
        <v>Client 166</v>
      </c>
      <c r="C71" s="49" t="str" vm="1038">
        <f>CUBEMEMBER("ThisWorkbookDataModel",{"[TPData].[Client].&amp;[Client 166]","[TPData].[Close Month].&amp;[2018-11-01T00:00:00]"})</f>
        <v>11/1/2018</v>
      </c>
      <c r="D71" s="49" t="str">
        <f>INDEX(TPData[Sales Rep],MATCH('Deal Size Analysis'!$B71,TPData[Client],FALSE))</f>
        <v>Rep 34</v>
      </c>
      <c r="E71" s="4" vm="1408">
        <f t="shared" si="6"/>
        <v>11760</v>
      </c>
      <c r="F71" s="4" t="str">
        <f t="shared" si="7"/>
        <v>Large (&lt;20k)</v>
      </c>
    </row>
    <row r="72" spans="2:6" x14ac:dyDescent="0.2">
      <c r="B72" s="49" t="str" vm="277">
        <f>CUBEMEMBER("ThisWorkbookDataModel","[TPData].[Client].&amp;[Client 167]")</f>
        <v>Client 167</v>
      </c>
      <c r="C72" s="49" t="str" vm="636">
        <f>CUBEMEMBER("ThisWorkbookDataModel",{"[TPData].[Client].&amp;[Client 167]","[TPData].[Close Month].&amp;[2018-11-01T00:00:00]"})</f>
        <v>11/1/2018</v>
      </c>
      <c r="D72" s="49" t="str">
        <f>INDEX(TPData[Sales Rep],MATCH('Deal Size Analysis'!$B72,TPData[Client],FALSE))</f>
        <v>Rep 34</v>
      </c>
      <c r="E72" s="4" vm="1151">
        <f t="shared" si="6"/>
        <v>6840</v>
      </c>
      <c r="F72" s="4" t="str">
        <f t="shared" si="7"/>
        <v>Medium (&lt;10k)</v>
      </c>
    </row>
    <row r="73" spans="2:6" x14ac:dyDescent="0.2">
      <c r="B73" s="49" t="str" vm="442">
        <f>CUBEMEMBER("ThisWorkbookDataModel","[TPData].[Client].&amp;[Client 168]")</f>
        <v>Client 168</v>
      </c>
      <c r="C73" s="49" t="str" vm="951">
        <f>CUBEMEMBER("ThisWorkbookDataModel",{"[TPData].[Client].&amp;[Client 168]","[TPData].[Close Month].&amp;[2018-11-01T00:00:00]"})</f>
        <v>11/1/2018</v>
      </c>
      <c r="D73" s="49" t="str">
        <f>INDEX(TPData[Sales Rep],MATCH('Deal Size Analysis'!$B73,TPData[Client],FALSE))</f>
        <v>Rep 34</v>
      </c>
      <c r="E73" s="4" vm="1354">
        <f t="shared" si="6"/>
        <v>6105.6</v>
      </c>
      <c r="F73" s="4" t="str">
        <f t="shared" si="7"/>
        <v>Medium (&lt;10k)</v>
      </c>
    </row>
    <row r="74" spans="2:6" x14ac:dyDescent="0.2">
      <c r="B74" s="49" t="str" vm="276">
        <f>CUBEMEMBER("ThisWorkbookDataModel","[TPData].[Client].&amp;[Client 169]")</f>
        <v>Client 169</v>
      </c>
      <c r="C74" s="49" t="str" vm="865">
        <f>CUBEMEMBER("ThisWorkbookDataModel",{"[TPData].[Client].&amp;[Client 169]","[TPData].[Close Month].&amp;[2018-11-01T00:00:00]"})</f>
        <v>11/1/2018</v>
      </c>
      <c r="D74" s="49" t="str">
        <f>INDEX(TPData[Sales Rep],MATCH('Deal Size Analysis'!$B74,TPData[Client],FALSE))</f>
        <v>Rep 34</v>
      </c>
      <c r="E74" s="4" vm="1288">
        <f t="shared" si="6"/>
        <v>6120</v>
      </c>
      <c r="F74" s="4" t="str">
        <f t="shared" si="7"/>
        <v>Medium (&lt;10k)</v>
      </c>
    </row>
    <row r="75" spans="2:6" x14ac:dyDescent="0.2">
      <c r="B75" s="49" t="str" vm="635">
        <f>CUBEMEMBER("ThisWorkbookDataModel","[TPData].[Client].&amp;[Client 170]")</f>
        <v>Client 170</v>
      </c>
      <c r="C75" s="49" t="str" vm="441">
        <f>CUBEMEMBER("ThisWorkbookDataModel",{"[TPData].[Client].&amp;[Client 170]","[TPData].[Close Month].&amp;[2018-11-01T00:00:00]"})</f>
        <v>11/1/2018</v>
      </c>
      <c r="D75" s="49" t="str">
        <f>INDEX(TPData[Sales Rep],MATCH('Deal Size Analysis'!$B75,TPData[Client],FALSE))</f>
        <v>Rep 34</v>
      </c>
      <c r="E75" s="4" vm="1445">
        <f t="shared" si="6"/>
        <v>1960.0391999999999</v>
      </c>
      <c r="F75" s="4" t="str">
        <f t="shared" si="7"/>
        <v>Small (&lt;5k)</v>
      </c>
    </row>
    <row r="76" spans="2:6" x14ac:dyDescent="0.2">
      <c r="B76" s="49" t="str" vm="275">
        <f>CUBEMEMBER("ThisWorkbookDataModel","[TPData].[Client].&amp;[Client 171]")</f>
        <v>Client 171</v>
      </c>
      <c r="C76" s="49" t="str" vm="778">
        <f>CUBEMEMBER("ThisWorkbookDataModel",{"[TPData].[Client].&amp;[Client 171]","[TPData].[Close Month].&amp;[2018-11-01T00:00:00]"})</f>
        <v>11/1/2018</v>
      </c>
      <c r="D76" s="49" t="str">
        <f>INDEX(TPData[Sales Rep],MATCH('Deal Size Analysis'!$B76,TPData[Client],FALSE))</f>
        <v>Rep 34</v>
      </c>
      <c r="E76" s="4" vm="1236">
        <f t="shared" si="6"/>
        <v>6624</v>
      </c>
      <c r="F76" s="4" t="str">
        <f t="shared" si="7"/>
        <v>Medium (&lt;10k)</v>
      </c>
    </row>
    <row r="77" spans="2:6" x14ac:dyDescent="0.2">
      <c r="B77" s="49" t="str" vm="1037">
        <f>CUBEMEMBER("ThisWorkbookDataModel","[TPData].[Client].&amp;[Client 172]")</f>
        <v>Client 172</v>
      </c>
      <c r="C77" s="49" t="str" vm="634">
        <f>CUBEMEMBER("ThisWorkbookDataModel",{"[TPData].[Client].&amp;[Client 172]","[TPData].[Close Month].&amp;[2018-11-01T00:00:00]"})</f>
        <v>11/1/2018</v>
      </c>
      <c r="D77" s="49" t="str">
        <f>INDEX(TPData[Sales Rep],MATCH('Deal Size Analysis'!$B77,TPData[Client],FALSE))</f>
        <v>Rep 34</v>
      </c>
      <c r="E77" s="4" vm="1150">
        <f t="shared" si="6"/>
        <v>11404.8</v>
      </c>
      <c r="F77" s="4" t="str">
        <f t="shared" si="7"/>
        <v>Large (&lt;20k)</v>
      </c>
    </row>
    <row r="78" spans="2:6" x14ac:dyDescent="0.2">
      <c r="B78" s="49" t="str" vm="274">
        <f>CUBEMEMBER("ThisWorkbookDataModel","[TPData].[Client].&amp;[Client 173]")</f>
        <v>Client 173</v>
      </c>
      <c r="C78" s="49" t="str" vm="440">
        <f>CUBEMEMBER("ThisWorkbookDataModel",{"[TPData].[Client].&amp;[Client 173]","[TPData].[Close Month].&amp;[2018-12-01T00:00:00]"})</f>
        <v>12/1/2018</v>
      </c>
      <c r="D78" s="49" t="str">
        <f>INDEX(TPData[Sales Rep],MATCH('Deal Size Analysis'!$B78,TPData[Client],FALSE))</f>
        <v>Rep 34</v>
      </c>
      <c r="E78" s="4" vm="1446">
        <f t="shared" si="6"/>
        <v>3744</v>
      </c>
      <c r="F78" s="4" t="str">
        <f t="shared" si="7"/>
        <v>Small (&lt;5k)</v>
      </c>
    </row>
    <row r="79" spans="2:6" x14ac:dyDescent="0.2">
      <c r="B79" s="49" t="str" vm="950">
        <f>CUBEMEMBER("ThisWorkbookDataModel","[TPData].[Client].&amp;[Client 174]")</f>
        <v>Client 174</v>
      </c>
      <c r="C79" s="49" t="str" vm="864">
        <f>CUBEMEMBER("ThisWorkbookDataModel",{"[TPData].[Client].&amp;[Client 174]","[TPData].[Close Month].&amp;[2018-12-01T00:00:00]"})</f>
        <v>12/1/2018</v>
      </c>
      <c r="D79" s="49" t="str">
        <f>INDEX(TPData[Sales Rep],MATCH('Deal Size Analysis'!$B79,TPData[Client],FALSE))</f>
        <v>Rep 34</v>
      </c>
      <c r="E79" s="4" vm="1287">
        <f t="shared" si="6"/>
        <v>18144</v>
      </c>
      <c r="F79" s="4" t="str">
        <f t="shared" si="7"/>
        <v>Large (&lt;20k)</v>
      </c>
    </row>
    <row r="80" spans="2:6" x14ac:dyDescent="0.2">
      <c r="B80" s="49" t="str" vm="273">
        <f>CUBEMEMBER("ThisWorkbookDataModel","[TPData].[Client].&amp;[Client 175]")</f>
        <v>Client 175</v>
      </c>
      <c r="C80" s="49" t="str" vm="633">
        <f>CUBEMEMBER("ThisWorkbookDataModel",{"[TPData].[Client].&amp;[Client 175]","[TPData].[Close Month].&amp;[2018-12-01T00:00:00]"})</f>
        <v>12/1/2018</v>
      </c>
      <c r="D80" s="49" t="str">
        <f>INDEX(TPData[Sales Rep],MATCH('Deal Size Analysis'!$B80,TPData[Client],FALSE))</f>
        <v>Rep 34</v>
      </c>
      <c r="E80" s="4" vm="1149">
        <f t="shared" si="6"/>
        <v>3210</v>
      </c>
      <c r="F80" s="4" t="str">
        <f t="shared" si="7"/>
        <v>Small (&lt;5k)</v>
      </c>
    </row>
    <row r="81" spans="2:6" x14ac:dyDescent="0.2">
      <c r="B81" s="49" t="str" vm="439">
        <f>CUBEMEMBER("ThisWorkbookDataModel","[TPData].[Client].&amp;[Client 176]")</f>
        <v>Client 176</v>
      </c>
      <c r="C81" s="49" t="str" vm="777">
        <f>CUBEMEMBER("ThisWorkbookDataModel",{"[TPData].[Client].&amp;[Client 176]","[TPData].[Close Month].&amp;[2018-12-01T00:00:00]"})</f>
        <v>12/1/2018</v>
      </c>
      <c r="D81" s="49" t="str">
        <f>INDEX(TPData[Sales Rep],MATCH('Deal Size Analysis'!$B81,TPData[Client],FALSE))</f>
        <v>Rep 34</v>
      </c>
      <c r="E81" s="4" vm="1235">
        <f t="shared" si="6"/>
        <v>23280</v>
      </c>
      <c r="F81" s="4" t="str">
        <f t="shared" si="7"/>
        <v>Mega (20k+)</v>
      </c>
    </row>
    <row r="82" spans="2:6" x14ac:dyDescent="0.2">
      <c r="B82" s="49" t="str" vm="272">
        <f>CUBEMEMBER("ThisWorkbookDataModel","[TPData].[Client].&amp;[Client 177]")</f>
        <v>Client 177</v>
      </c>
      <c r="C82" s="49" t="str" vm="1036">
        <f>CUBEMEMBER("ThisWorkbookDataModel",{"[TPData].[Client].&amp;[Client 177]","[TPData].[Close Month].&amp;[2018-12-01T00:00:00]"})</f>
        <v>12/1/2018</v>
      </c>
      <c r="D82" s="49" t="str">
        <f>INDEX(TPData[Sales Rep],MATCH('Deal Size Analysis'!$B82,TPData[Client],FALSE))</f>
        <v>Rep 34</v>
      </c>
      <c r="E82" s="4" vm="1407">
        <f t="shared" si="6"/>
        <v>7999.2</v>
      </c>
      <c r="F82" s="4" t="str">
        <f t="shared" si="7"/>
        <v>Medium (&lt;10k)</v>
      </c>
    </row>
    <row r="83" spans="2:6" x14ac:dyDescent="0.2">
      <c r="B83" s="49" t="str" vm="632">
        <f>CUBEMEMBER("ThisWorkbookDataModel","[TPData].[Client].&amp;[Client 178]")</f>
        <v>Client 178</v>
      </c>
      <c r="C83" s="49" t="str" vm="438">
        <f>CUBEMEMBER("ThisWorkbookDataModel",{"[TPData].[Client].&amp;[Client 178]","[TPData].[Close Month].&amp;[2019-02-01T00:00:00]"})</f>
        <v>2/1/2019</v>
      </c>
      <c r="D83" s="49" t="str">
        <f>INDEX(TPData[Sales Rep],MATCH('Deal Size Analysis'!$B83,TPData[Client],FALSE))</f>
        <v>Rep 34</v>
      </c>
      <c r="E83" s="4" vm="1447">
        <f t="shared" si="6"/>
        <v>20000</v>
      </c>
      <c r="F83" s="4" t="str">
        <f t="shared" si="7"/>
        <v>Mega (20k+)</v>
      </c>
    </row>
    <row r="84" spans="2:6" x14ac:dyDescent="0.2">
      <c r="B84" s="49" t="str" vm="271">
        <f>CUBEMEMBER("ThisWorkbookDataModel","[TPData].[Client].&amp;[Client 179]")</f>
        <v>Client 179</v>
      </c>
      <c r="C84" s="49" t="str" vm="949">
        <f>CUBEMEMBER("ThisWorkbookDataModel",{"[TPData].[Client].&amp;[Client 179]","[TPData].[Close Month].&amp;[2019-02-01T00:00:00]"})</f>
        <v>2/1/2019</v>
      </c>
      <c r="D84" s="49" t="str">
        <f>INDEX(TPData[Sales Rep],MATCH('Deal Size Analysis'!$B84,TPData[Client],FALSE))</f>
        <v>Rep 34</v>
      </c>
      <c r="E84" s="4" vm="1353">
        <f t="shared" si="6"/>
        <v>10710</v>
      </c>
      <c r="F84" s="4" t="str">
        <f t="shared" si="7"/>
        <v>Large (&lt;20k)</v>
      </c>
    </row>
    <row r="85" spans="2:6" x14ac:dyDescent="0.2">
      <c r="B85" s="49" t="str" vm="863">
        <f>CUBEMEMBER("ThisWorkbookDataModel","[TPData].[Client].&amp;[Client 180]")</f>
        <v>Client 180</v>
      </c>
      <c r="C85" s="49" t="str" vm="631">
        <f>CUBEMEMBER("ThisWorkbookDataModel",{"[TPData].[Client].&amp;[Client 180]","[TPData].[Close Month].&amp;[2019-03-01T00:00:00]"})</f>
        <v>3/1/2019</v>
      </c>
      <c r="D85" s="49" t="str">
        <f>INDEX(TPData[Sales Rep],MATCH('Deal Size Analysis'!$B85,TPData[Client],FALSE))</f>
        <v>Rep 34</v>
      </c>
      <c r="E85" s="4" vm="1192">
        <f t="shared" si="6"/>
        <v>1854</v>
      </c>
      <c r="F85" s="4" t="str">
        <f t="shared" si="7"/>
        <v>Small (&lt;5k)</v>
      </c>
    </row>
    <row r="86" spans="2:6" x14ac:dyDescent="0.2">
      <c r="B86" s="49" t="str" vm="270">
        <f>CUBEMEMBER("ThisWorkbookDataModel","[TPData].[Client].&amp;[Client 181]")</f>
        <v>Client 181</v>
      </c>
      <c r="C86" s="49" t="str" vm="437">
        <f>CUBEMEMBER("ThisWorkbookDataModel",{"[TPData].[Client].&amp;[Client 181]","[TPData].[Close Month].&amp;[2019-03-01T00:00:00]"})</f>
        <v>3/1/2019</v>
      </c>
      <c r="D86" s="49" t="str">
        <f>INDEX(TPData[Sales Rep],MATCH('Deal Size Analysis'!$B86,TPData[Client],FALSE))</f>
        <v>Rep 34</v>
      </c>
      <c r="E86" s="4" vm="1160">
        <f t="shared" si="6"/>
        <v>7632</v>
      </c>
      <c r="F86" s="4" t="str">
        <f t="shared" si="7"/>
        <v>Medium (&lt;10k)</v>
      </c>
    </row>
    <row r="87" spans="2:6" x14ac:dyDescent="0.2">
      <c r="B87" s="49" t="str" vm="776">
        <f>CUBEMEMBER("ThisWorkbookDataModel","[TPData].[Client].&amp;[Client 182]")</f>
        <v>Client 182</v>
      </c>
      <c r="C87" s="49" t="str" vm="1035">
        <f>CUBEMEMBER("ThisWorkbookDataModel",{"[TPData].[Client].&amp;[Client 182]","[TPData].[Close Month].&amp;[2019-03-01T00:00:00]"})</f>
        <v>3/1/2019</v>
      </c>
      <c r="D87" s="49" t="str">
        <f>INDEX(TPData[Sales Rep],MATCH('Deal Size Analysis'!$B87,TPData[Client],FALSE))</f>
        <v>Rep 34</v>
      </c>
      <c r="E87" s="4" vm="1406">
        <f t="shared" si="6"/>
        <v>1365</v>
      </c>
      <c r="F87" s="4" t="str">
        <f t="shared" si="7"/>
        <v>Small (&lt;5k)</v>
      </c>
    </row>
    <row r="88" spans="2:6" x14ac:dyDescent="0.2">
      <c r="B88" s="49" t="str" vm="269">
        <f>CUBEMEMBER("ThisWorkbookDataModel","[TPData].[Client].&amp;[Client 190]")</f>
        <v>Client 190</v>
      </c>
      <c r="C88" s="49" t="str" vm="630">
        <f>CUBEMEMBER("ThisWorkbookDataModel",{"[TPData].[Client].&amp;[Client 190]","[TPData].[Close Month].&amp;[2018-07-01T00:00:00]"})</f>
        <v>7/1/2018</v>
      </c>
      <c r="D88" s="49" t="str">
        <f>INDEX(TPData[Sales Rep],MATCH('Deal Size Analysis'!$B88,TPData[Client],FALSE))</f>
        <v>Rep 1</v>
      </c>
      <c r="E88" s="4" vm="1148">
        <f t="shared" si="6"/>
        <v>2247</v>
      </c>
      <c r="F88" s="4" t="str">
        <f t="shared" si="7"/>
        <v>Small (&lt;5k)</v>
      </c>
    </row>
    <row r="89" spans="2:6" x14ac:dyDescent="0.2">
      <c r="B89" s="49" t="str" vm="436">
        <f>CUBEMEMBER("ThisWorkbookDataModel","[TPData].[Client].&amp;[Client 191]")</f>
        <v>Client 191</v>
      </c>
      <c r="C89" s="49" t="str" vm="948">
        <f>CUBEMEMBER("ThisWorkbookDataModel",{"[TPData].[Client].&amp;[Client 191]","[TPData].[Close Month].&amp;[2018-07-01T00:00:00]"})</f>
        <v>7/1/2018</v>
      </c>
      <c r="D89" s="49" t="str">
        <f>INDEX(TPData[Sales Rep],MATCH('Deal Size Analysis'!$B89,TPData[Client],FALSE))</f>
        <v>Rep 1</v>
      </c>
      <c r="E89" s="4" vm="1352">
        <f t="shared" si="6"/>
        <v>2700</v>
      </c>
      <c r="F89" s="4" t="str">
        <f t="shared" si="7"/>
        <v>Small (&lt;5k)</v>
      </c>
    </row>
    <row r="90" spans="2:6" x14ac:dyDescent="0.2">
      <c r="B90" s="49" t="str" vm="268">
        <f>CUBEMEMBER("ThisWorkbookDataModel","[TPData].[Client].&amp;[Client 192]")</f>
        <v>Client 192</v>
      </c>
      <c r="C90" s="49" t="str" vm="862">
        <f>CUBEMEMBER("ThisWorkbookDataModel",{"[TPData].[Client].&amp;[Client 192]","[TPData].[Close Month].&amp;[2018-07-01T00:00:00]"})</f>
        <v>7/1/2018</v>
      </c>
      <c r="D90" s="49" t="str">
        <f>INDEX(TPData[Sales Rep],MATCH('Deal Size Analysis'!$B90,TPData[Client],FALSE))</f>
        <v>Rep 1</v>
      </c>
      <c r="E90" s="4" vm="1286">
        <f t="shared" si="6"/>
        <v>1746</v>
      </c>
      <c r="F90" s="4" t="str">
        <f t="shared" si="7"/>
        <v>Small (&lt;5k)</v>
      </c>
    </row>
    <row r="91" spans="2:6" x14ac:dyDescent="0.2">
      <c r="B91" s="49" t="str" vm="629">
        <f>CUBEMEMBER("ThisWorkbookDataModel","[TPData].[Client].&amp;[Client 193]")</f>
        <v>Client 193</v>
      </c>
      <c r="C91" s="49" t="str" vm="435">
        <f>CUBEMEMBER("ThisWorkbookDataModel",{"[TPData].[Client].&amp;[Client 193]","[TPData].[Close Month].&amp;[2018-07-01T00:00:00]"})</f>
        <v>7/1/2018</v>
      </c>
      <c r="D91" s="49" t="str">
        <f>INDEX(TPData[Sales Rep],MATCH('Deal Size Analysis'!$B91,TPData[Client],FALSE))</f>
        <v>Rep 1</v>
      </c>
      <c r="E91" s="4" vm="1448">
        <f t="shared" si="6"/>
        <v>1188</v>
      </c>
      <c r="F91" s="4" t="str">
        <f t="shared" si="7"/>
        <v>Small (&lt;5k)</v>
      </c>
    </row>
    <row r="92" spans="2:6" x14ac:dyDescent="0.2">
      <c r="B92" s="49" t="str" vm="267">
        <f>CUBEMEMBER("ThisWorkbookDataModel","[TPData].[Client].&amp;[Client 194]")</f>
        <v>Client 194</v>
      </c>
      <c r="C92" s="49" t="str" vm="775">
        <f>CUBEMEMBER("ThisWorkbookDataModel",{"[TPData].[Client].&amp;[Client 194]","[TPData].[Close Month].&amp;[2018-07-01T00:00:00]"})</f>
        <v>7/1/2018</v>
      </c>
      <c r="D92" s="49" t="str">
        <f>INDEX(TPData[Sales Rep],MATCH('Deal Size Analysis'!$B92,TPData[Client],FALSE))</f>
        <v>Rep 1</v>
      </c>
      <c r="E92" s="4" vm="1234">
        <f t="shared" si="6"/>
        <v>1883.76</v>
      </c>
      <c r="F92" s="4" t="str">
        <f t="shared" si="7"/>
        <v>Small (&lt;5k)</v>
      </c>
    </row>
    <row r="93" spans="2:6" x14ac:dyDescent="0.2">
      <c r="B93" s="49" t="str" vm="1034">
        <f>CUBEMEMBER("ThisWorkbookDataModel","[TPData].[Client].&amp;[Client 195]")</f>
        <v>Client 195</v>
      </c>
      <c r="C93" s="49" t="str" vm="628">
        <f>CUBEMEMBER("ThisWorkbookDataModel",{"[TPData].[Client].&amp;[Client 195]","[TPData].[Close Month].&amp;[2018-07-01T00:00:00]"})</f>
        <v>7/1/2018</v>
      </c>
      <c r="D93" s="49" t="str">
        <f>INDEX(TPData[Sales Rep],MATCH('Deal Size Analysis'!$B93,TPData[Client],FALSE))</f>
        <v>Rep 1</v>
      </c>
      <c r="E93" s="4" vm="1147">
        <f t="shared" si="6"/>
        <v>20000</v>
      </c>
      <c r="F93" s="4" t="str">
        <f t="shared" si="7"/>
        <v>Mega (20k+)</v>
      </c>
    </row>
    <row r="94" spans="2:6" x14ac:dyDescent="0.2">
      <c r="B94" s="49" t="str" vm="266">
        <f>CUBEMEMBER("ThisWorkbookDataModel","[TPData].[Client].&amp;[Client 196]")</f>
        <v>Client 196</v>
      </c>
      <c r="C94" s="49" t="str" vm="434">
        <f>CUBEMEMBER("ThisWorkbookDataModel",{"[TPData].[Client].&amp;[Client 196]","[TPData].[Close Month].&amp;[2018-07-01T00:00:00]"})</f>
        <v>7/1/2018</v>
      </c>
      <c r="D94" s="49" t="str">
        <f>INDEX(TPData[Sales Rep],MATCH('Deal Size Analysis'!$B94,TPData[Client],FALSE))</f>
        <v>Rep 1</v>
      </c>
      <c r="E94" s="4" vm="1449">
        <f t="shared" si="6"/>
        <v>7776.0000000000009</v>
      </c>
      <c r="F94" s="4" t="str">
        <f t="shared" si="7"/>
        <v>Medium (&lt;10k)</v>
      </c>
    </row>
    <row r="95" spans="2:6" x14ac:dyDescent="0.2">
      <c r="B95" s="49" t="str" vm="947">
        <f>CUBEMEMBER("ThisWorkbookDataModel","[TPData].[Client].&amp;[Client 197]")</f>
        <v>Client 197</v>
      </c>
      <c r="C95" s="49" t="str" vm="861">
        <f>CUBEMEMBER("ThisWorkbookDataModel",{"[TPData].[Client].&amp;[Client 197]","[TPData].[Close Month].&amp;[2018-08-01T00:00:00]"})</f>
        <v>8/1/2018</v>
      </c>
      <c r="D95" s="49" t="str">
        <f>INDEX(TPData[Sales Rep],MATCH('Deal Size Analysis'!$B95,TPData[Client],FALSE))</f>
        <v>Rep 1</v>
      </c>
      <c r="E95" s="4" vm="1285">
        <f t="shared" si="6"/>
        <v>7344</v>
      </c>
      <c r="F95" s="4" t="str">
        <f t="shared" si="7"/>
        <v>Medium (&lt;10k)</v>
      </c>
    </row>
    <row r="96" spans="2:6" x14ac:dyDescent="0.2">
      <c r="B96" s="49" t="str" vm="265">
        <f>CUBEMEMBER("ThisWorkbookDataModel","[TPData].[Client].&amp;[Client 198]")</f>
        <v>Client 198</v>
      </c>
      <c r="C96" s="49" t="str" vm="627">
        <f>CUBEMEMBER("ThisWorkbookDataModel",{"[TPData].[Client].&amp;[Client 198]","[TPData].[Close Month].&amp;[2018-08-01T00:00:00]"})</f>
        <v>8/1/2018</v>
      </c>
      <c r="D96" s="49" t="str">
        <f>INDEX(TPData[Sales Rep],MATCH('Deal Size Analysis'!$B96,TPData[Client],FALSE))</f>
        <v>Rep 1</v>
      </c>
      <c r="E96" s="4" vm="1146">
        <f t="shared" si="6"/>
        <v>3744</v>
      </c>
      <c r="F96" s="4" t="str">
        <f t="shared" si="7"/>
        <v>Small (&lt;5k)</v>
      </c>
    </row>
    <row r="97" spans="2:6" x14ac:dyDescent="0.2">
      <c r="B97" s="49" t="str" vm="433">
        <f>CUBEMEMBER("ThisWorkbookDataModel","[TPData].[Client].&amp;[Client 199]")</f>
        <v>Client 199</v>
      </c>
      <c r="C97" s="49" t="str" vm="774">
        <f>CUBEMEMBER("ThisWorkbookDataModel",{"[TPData].[Client].&amp;[Client 199]","[TPData].[Close Month].&amp;[2018-08-01T00:00:00]"})</f>
        <v>8/1/2018</v>
      </c>
      <c r="D97" s="49" t="str">
        <f>INDEX(TPData[Sales Rep],MATCH('Deal Size Analysis'!$B97,TPData[Client],FALSE))</f>
        <v>Rep 1</v>
      </c>
      <c r="E97" s="4" vm="1233">
        <f t="shared" si="6"/>
        <v>3180</v>
      </c>
      <c r="F97" s="4" t="str">
        <f t="shared" si="7"/>
        <v>Small (&lt;5k)</v>
      </c>
    </row>
    <row r="98" spans="2:6" x14ac:dyDescent="0.2">
      <c r="B98" s="49" t="str" vm="264">
        <f>CUBEMEMBER("ThisWorkbookDataModel","[TPData].[Client].&amp;[Client 200]")</f>
        <v>Client 200</v>
      </c>
      <c r="C98" s="49" t="str" vm="1033">
        <f>CUBEMEMBER("ThisWorkbookDataModel",{"[TPData].[Client].&amp;[Client 200]","[TPData].[Close Month].&amp;[2018-08-01T00:00:00]"})</f>
        <v>8/1/2018</v>
      </c>
      <c r="D98" s="49" t="str">
        <f>INDEX(TPData[Sales Rep],MATCH('Deal Size Analysis'!$B98,TPData[Client],FALSE))</f>
        <v>Rep 1</v>
      </c>
      <c r="E98" s="4" vm="1405">
        <f t="shared" si="6"/>
        <v>1164</v>
      </c>
      <c r="F98" s="4" t="str">
        <f t="shared" si="7"/>
        <v>Small (&lt;5k)</v>
      </c>
    </row>
    <row r="99" spans="2:6" x14ac:dyDescent="0.2">
      <c r="B99" s="49" t="str" vm="626">
        <f>CUBEMEMBER("ThisWorkbookDataModel","[TPData].[Client].&amp;[Client 201]")</f>
        <v>Client 201</v>
      </c>
      <c r="C99" s="49" t="str" vm="432">
        <f>CUBEMEMBER("ThisWorkbookDataModel",{"[TPData].[Client].&amp;[Client 201]","[TPData].[Close Month].&amp;[2018-08-01T00:00:00]"})</f>
        <v>8/1/2018</v>
      </c>
      <c r="D99" s="49" t="str">
        <f>INDEX(TPData[Sales Rep],MATCH('Deal Size Analysis'!$B99,TPData[Client],FALSE))</f>
        <v>Rep 1</v>
      </c>
      <c r="E99" s="4" vm="1450">
        <f t="shared" si="6"/>
        <v>3420</v>
      </c>
      <c r="F99" s="4" t="str">
        <f t="shared" si="7"/>
        <v>Small (&lt;5k)</v>
      </c>
    </row>
    <row r="100" spans="2:6" x14ac:dyDescent="0.2">
      <c r="B100" s="49" t="str" vm="263">
        <f>CUBEMEMBER("ThisWorkbookDataModel","[TPData].[Client].&amp;[Client 202]")</f>
        <v>Client 202</v>
      </c>
      <c r="C100" s="49" t="str" vm="946">
        <f>CUBEMEMBER("ThisWorkbookDataModel",{"[TPData].[Client].&amp;[Client 202]","[TPData].[Close Month].&amp;[2018-08-01T00:00:00]"})</f>
        <v>8/1/2018</v>
      </c>
      <c r="D100" s="49" t="str">
        <f>INDEX(TPData[Sales Rep],MATCH('Deal Size Analysis'!$B100,TPData[Client],FALSE))</f>
        <v>Rep 1</v>
      </c>
      <c r="E100" s="4" vm="1351">
        <f t="shared" si="6"/>
        <v>2208</v>
      </c>
      <c r="F100" s="4" t="str">
        <f t="shared" si="7"/>
        <v>Small (&lt;5k)</v>
      </c>
    </row>
    <row r="101" spans="2:6" x14ac:dyDescent="0.2">
      <c r="B101" s="49" t="str" vm="860">
        <f>CUBEMEMBER("ThisWorkbookDataModel","[TPData].[Client].&amp;[Client 203]")</f>
        <v>Client 203</v>
      </c>
      <c r="C101" s="49" t="str" vm="625">
        <f>CUBEMEMBER("ThisWorkbookDataModel",{"[TPData].[Client].&amp;[Client 203]","[TPData].[Close Month].&amp;[2018-08-01T00:00:00]"})</f>
        <v>8/1/2018</v>
      </c>
      <c r="D101" s="49" t="str">
        <f>INDEX(TPData[Sales Rep],MATCH('Deal Size Analysis'!$B101,TPData[Client],FALSE))</f>
        <v>Rep 1</v>
      </c>
      <c r="E101" s="4" vm="1360">
        <f t="shared" si="6"/>
        <v>3708</v>
      </c>
      <c r="F101" s="4" t="str">
        <f t="shared" si="7"/>
        <v>Small (&lt;5k)</v>
      </c>
    </row>
    <row r="102" spans="2:6" x14ac:dyDescent="0.2">
      <c r="B102" s="49" t="str" vm="262">
        <f>CUBEMEMBER("ThisWorkbookDataModel","[TPData].[Client].&amp;[Client 204]")</f>
        <v>Client 204</v>
      </c>
      <c r="C102" s="49" t="str" vm="431">
        <f>CUBEMEMBER("ThisWorkbookDataModel",{"[TPData].[Client].&amp;[Client 204]","[TPData].[Close Month].&amp;[2018-08-01T00:00:00]"})</f>
        <v>8/1/2018</v>
      </c>
      <c r="D102" s="49" t="str">
        <f>INDEX(TPData[Sales Rep],MATCH('Deal Size Analysis'!$B102,TPData[Client],FALSE))</f>
        <v>Rep 1</v>
      </c>
      <c r="E102" s="4" vm="1451">
        <f t="shared" si="6"/>
        <v>1881.6</v>
      </c>
      <c r="F102" s="4" t="str">
        <f t="shared" si="7"/>
        <v>Small (&lt;5k)</v>
      </c>
    </row>
    <row r="103" spans="2:6" x14ac:dyDescent="0.2">
      <c r="B103" s="49" t="str" vm="773">
        <f>CUBEMEMBER("ThisWorkbookDataModel","[TPData].[Client].&amp;[Client 205]")</f>
        <v>Client 205</v>
      </c>
      <c r="C103" s="49" t="str" vm="1032">
        <f>CUBEMEMBER("ThisWorkbookDataModel",{"[TPData].[Client].&amp;[Client 205]","[TPData].[Close Month].&amp;[2018-09-01T00:00:00]"})</f>
        <v>9/1/2018</v>
      </c>
      <c r="D103" s="49" t="str">
        <f>INDEX(TPData[Sales Rep],MATCH('Deal Size Analysis'!$B103,TPData[Client],FALSE))</f>
        <v>Rep 1</v>
      </c>
      <c r="E103" s="4" vm="1404">
        <f t="shared" si="6"/>
        <v>2160</v>
      </c>
      <c r="F103" s="4" t="str">
        <f t="shared" si="7"/>
        <v>Small (&lt;5k)</v>
      </c>
    </row>
    <row r="104" spans="2:6" x14ac:dyDescent="0.2">
      <c r="B104" s="49" t="str" vm="261">
        <f>CUBEMEMBER("ThisWorkbookDataModel","[TPData].[Client].&amp;[Client 206]")</f>
        <v>Client 206</v>
      </c>
      <c r="C104" s="49" t="str" vm="624">
        <f>CUBEMEMBER("ThisWorkbookDataModel",{"[TPData].[Client].&amp;[Client 206]","[TPData].[Close Month].&amp;[2018-09-01T00:00:00]"})</f>
        <v>9/1/2018</v>
      </c>
      <c r="D104" s="49" t="str">
        <f>INDEX(TPData[Sales Rep],MATCH('Deal Size Analysis'!$B104,TPData[Client],FALSE))</f>
        <v>Rep 1</v>
      </c>
      <c r="E104" s="4" vm="1145">
        <f t="shared" si="6"/>
        <v>4860</v>
      </c>
      <c r="F104" s="4" t="str">
        <f t="shared" si="7"/>
        <v>Small (&lt;5k)</v>
      </c>
    </row>
    <row r="105" spans="2:6" x14ac:dyDescent="0.2">
      <c r="B105" s="49" t="str" vm="430">
        <f>CUBEMEMBER("ThisWorkbookDataModel","[TPData].[Client].&amp;[Client 207]")</f>
        <v>Client 207</v>
      </c>
      <c r="C105" s="49" t="str" vm="945">
        <f>CUBEMEMBER("ThisWorkbookDataModel",{"[TPData].[Client].&amp;[Client 207]","[TPData].[Close Month].&amp;[2018-09-01T00:00:00]"})</f>
        <v>9/1/2018</v>
      </c>
      <c r="D105" s="49" t="str">
        <f>INDEX(TPData[Sales Rep],MATCH('Deal Size Analysis'!$B105,TPData[Client],FALSE))</f>
        <v>Rep 1</v>
      </c>
      <c r="E105" s="4" vm="1350">
        <f t="shared" si="6"/>
        <v>6468</v>
      </c>
      <c r="F105" s="4" t="str">
        <f t="shared" si="7"/>
        <v>Medium (&lt;10k)</v>
      </c>
    </row>
    <row r="106" spans="2:6" x14ac:dyDescent="0.2">
      <c r="B106" s="49" t="str" vm="260">
        <f>CUBEMEMBER("ThisWorkbookDataModel","[TPData].[Client].&amp;[Client 208]")</f>
        <v>Client 208</v>
      </c>
      <c r="C106" s="49" t="str" vm="859">
        <f>CUBEMEMBER("ThisWorkbookDataModel",{"[TPData].[Client].&amp;[Client 208]","[TPData].[Close Month].&amp;[2018-09-01T00:00:00]"})</f>
        <v>9/1/2018</v>
      </c>
      <c r="D106" s="49" t="str">
        <f>INDEX(TPData[Sales Rep],MATCH('Deal Size Analysis'!$B106,TPData[Client],FALSE))</f>
        <v>Rep 1</v>
      </c>
      <c r="E106" s="4" vm="1284">
        <f t="shared" si="6"/>
        <v>2100</v>
      </c>
      <c r="F106" s="4" t="str">
        <f t="shared" si="7"/>
        <v>Small (&lt;5k)</v>
      </c>
    </row>
    <row r="107" spans="2:6" x14ac:dyDescent="0.2">
      <c r="B107" s="49" t="str" vm="623">
        <f>CUBEMEMBER("ThisWorkbookDataModel","[TPData].[Client].&amp;[Client 209]")</f>
        <v>Client 209</v>
      </c>
      <c r="C107" s="49" t="str" vm="429">
        <f>CUBEMEMBER("ThisWorkbookDataModel",{"[TPData].[Client].&amp;[Client 209]","[TPData].[Close Month].&amp;[2018-09-01T00:00:00]"})</f>
        <v>9/1/2018</v>
      </c>
      <c r="D107" s="49" t="str">
        <f>INDEX(TPData[Sales Rep],MATCH('Deal Size Analysis'!$B107,TPData[Client],FALSE))</f>
        <v>Rep 1</v>
      </c>
      <c r="E107" s="4" vm="1452">
        <f t="shared" si="6"/>
        <v>1854</v>
      </c>
      <c r="F107" s="4" t="str">
        <f t="shared" si="7"/>
        <v>Small (&lt;5k)</v>
      </c>
    </row>
    <row r="108" spans="2:6" x14ac:dyDescent="0.2">
      <c r="B108" s="49" t="str" vm="259">
        <f>CUBEMEMBER("ThisWorkbookDataModel","[TPData].[Client].&amp;[Client 210]")</f>
        <v>Client 210</v>
      </c>
      <c r="C108" s="49" t="str" vm="772">
        <f>CUBEMEMBER("ThisWorkbookDataModel",{"[TPData].[Client].&amp;[Client 210]","[TPData].[Close Month].&amp;[2018-09-01T00:00:00]"})</f>
        <v>9/1/2018</v>
      </c>
      <c r="D108" s="49" t="str">
        <f>INDEX(TPData[Sales Rep],MATCH('Deal Size Analysis'!$B108,TPData[Client],FALSE))</f>
        <v>Rep 1</v>
      </c>
      <c r="E108" s="4" vm="1232">
        <f t="shared" si="6"/>
        <v>756.6</v>
      </c>
      <c r="F108" s="4" t="str">
        <f t="shared" si="7"/>
        <v>Small (&lt;5k)</v>
      </c>
    </row>
    <row r="109" spans="2:6" x14ac:dyDescent="0.2">
      <c r="B109" s="49" t="str" vm="1031">
        <f>CUBEMEMBER("ThisWorkbookDataModel","[TPData].[Client].&amp;[Client 211]")</f>
        <v>Client 211</v>
      </c>
      <c r="C109" s="49" t="str" vm="622">
        <f>CUBEMEMBER("ThisWorkbookDataModel",{"[TPData].[Client].&amp;[Client 211]","[TPData].[Close Month].&amp;[2018-09-01T00:00:00]"})</f>
        <v>9/1/2018</v>
      </c>
      <c r="D109" s="49" t="str">
        <f>INDEX(TPData[Sales Rep],MATCH('Deal Size Analysis'!$B109,TPData[Client],FALSE))</f>
        <v>Rep 1</v>
      </c>
      <c r="E109" s="4" vm="1144">
        <f t="shared" si="6"/>
        <v>3060</v>
      </c>
      <c r="F109" s="4" t="str">
        <f t="shared" si="7"/>
        <v>Small (&lt;5k)</v>
      </c>
    </row>
    <row r="110" spans="2:6" x14ac:dyDescent="0.2">
      <c r="B110" s="49" t="str" vm="258">
        <f>CUBEMEMBER("ThisWorkbookDataModel","[TPData].[Client].&amp;[Client 212]")</f>
        <v>Client 212</v>
      </c>
      <c r="C110" s="49" t="str" vm="428">
        <f>CUBEMEMBER("ThisWorkbookDataModel",{"[TPData].[Client].&amp;[Client 212]","[TPData].[Close Month].&amp;[2018-09-01T00:00:00]"})</f>
        <v>9/1/2018</v>
      </c>
      <c r="D110" s="49" t="str">
        <f>INDEX(TPData[Sales Rep],MATCH('Deal Size Analysis'!$B110,TPData[Client],FALSE))</f>
        <v>Rep 1</v>
      </c>
      <c r="E110" s="4" vm="1453">
        <f t="shared" si="6"/>
        <v>1932</v>
      </c>
      <c r="F110" s="4" t="str">
        <f t="shared" si="7"/>
        <v>Small (&lt;5k)</v>
      </c>
    </row>
    <row r="111" spans="2:6" x14ac:dyDescent="0.2">
      <c r="B111" s="49" t="str" vm="944">
        <f>CUBEMEMBER("ThisWorkbookDataModel","[TPData].[Client].&amp;[Client 213]")</f>
        <v>Client 213</v>
      </c>
      <c r="C111" s="49" t="str" vm="858">
        <f>CUBEMEMBER("ThisWorkbookDataModel",{"[TPData].[Client].&amp;[Client 213]","[TPData].[Close Month].&amp;[2018-09-01T00:00:00]"})</f>
        <v>9/1/2018</v>
      </c>
      <c r="D111" s="49" t="str">
        <f>INDEX(TPData[Sales Rep],MATCH('Deal Size Analysis'!$B111,TPData[Client],FALSE))</f>
        <v>Rep 1</v>
      </c>
      <c r="E111" s="4" vm="1283">
        <f t="shared" si="6"/>
        <v>1836</v>
      </c>
      <c r="F111" s="4" t="str">
        <f t="shared" si="7"/>
        <v>Small (&lt;5k)</v>
      </c>
    </row>
    <row r="112" spans="2:6" x14ac:dyDescent="0.2">
      <c r="B112" s="49" t="str" vm="257">
        <f>CUBEMEMBER("ThisWorkbookDataModel","[TPData].[Client].&amp;[Client 214]")</f>
        <v>Client 214</v>
      </c>
      <c r="C112" s="49" t="str" vm="621">
        <f>CUBEMEMBER("ThisWorkbookDataModel",{"[TPData].[Client].&amp;[Client 214]","[TPData].[Close Month].&amp;[2018-09-01T00:00:00]"})</f>
        <v>9/1/2018</v>
      </c>
      <c r="D112" s="49" t="str">
        <f>INDEX(TPData[Sales Rep],MATCH('Deal Size Analysis'!$B112,TPData[Client],FALSE))</f>
        <v>Rep 1</v>
      </c>
      <c r="E112" s="4" vm="1143">
        <f t="shared" si="6"/>
        <v>2256</v>
      </c>
      <c r="F112" s="4" t="str">
        <f t="shared" si="7"/>
        <v>Small (&lt;5k)</v>
      </c>
    </row>
    <row r="113" spans="2:6" x14ac:dyDescent="0.2">
      <c r="B113" s="49" t="str" vm="427">
        <f>CUBEMEMBER("ThisWorkbookDataModel","[TPData].[Client].&amp;[Client 215]")</f>
        <v>Client 215</v>
      </c>
      <c r="C113" s="49" t="str" vm="771">
        <f>CUBEMEMBER("ThisWorkbookDataModel",{"[TPData].[Client].&amp;[Client 215]","[TPData].[Close Month].&amp;[2018-09-01T00:00:00]"})</f>
        <v>9/1/2018</v>
      </c>
      <c r="D113" s="49" t="str">
        <f>INDEX(TPData[Sales Rep],MATCH('Deal Size Analysis'!$B113,TPData[Client],FALSE))</f>
        <v>Rep 1</v>
      </c>
      <c r="E113" s="4" vm="1231">
        <f t="shared" si="6"/>
        <v>16218</v>
      </c>
      <c r="F113" s="4" t="str">
        <f t="shared" si="7"/>
        <v>Large (&lt;20k)</v>
      </c>
    </row>
    <row r="114" spans="2:6" x14ac:dyDescent="0.2">
      <c r="B114" s="49" t="str" vm="256">
        <f>CUBEMEMBER("ThisWorkbookDataModel","[TPData].[Client].&amp;[Client 216]")</f>
        <v>Client 216</v>
      </c>
      <c r="C114" s="49" t="str" vm="1030">
        <f>CUBEMEMBER("ThisWorkbookDataModel",{"[TPData].[Client].&amp;[Client 216]","[TPData].[Close Month].&amp;[2018-10-01T00:00:00]"})</f>
        <v>10/1/2018</v>
      </c>
      <c r="D114" s="49" t="str">
        <f>INDEX(TPData[Sales Rep],MATCH('Deal Size Analysis'!$B114,TPData[Client],FALSE))</f>
        <v>Rep 1</v>
      </c>
      <c r="E114" s="4" vm="1403">
        <f t="shared" si="6"/>
        <v>2889</v>
      </c>
      <c r="F114" s="4" t="str">
        <f t="shared" si="7"/>
        <v>Small (&lt;5k)</v>
      </c>
    </row>
    <row r="115" spans="2:6" x14ac:dyDescent="0.2">
      <c r="B115" s="49" t="str" vm="620">
        <f>CUBEMEMBER("ThisWorkbookDataModel","[TPData].[Client].&amp;[Client 217]")</f>
        <v>Client 217</v>
      </c>
      <c r="C115" s="49" t="str" vm="426">
        <f>CUBEMEMBER("ThisWorkbookDataModel",{"[TPData].[Client].&amp;[Client 217]","[TPData].[Close Month].&amp;[2018-10-01T00:00:00]"})</f>
        <v>10/1/2018</v>
      </c>
      <c r="D115" s="49" t="str">
        <f>INDEX(TPData[Sales Rep],MATCH('Deal Size Analysis'!$B115,TPData[Client],FALSE))</f>
        <v>Rep 1</v>
      </c>
      <c r="E115" s="4" vm="1454">
        <f t="shared" si="6"/>
        <v>2646</v>
      </c>
      <c r="F115" s="4" t="str">
        <f t="shared" si="7"/>
        <v>Small (&lt;5k)</v>
      </c>
    </row>
    <row r="116" spans="2:6" x14ac:dyDescent="0.2">
      <c r="B116" s="49" t="str" vm="255">
        <f>CUBEMEMBER("ThisWorkbookDataModel","[TPData].[Client].&amp;[Client 218]")</f>
        <v>Client 218</v>
      </c>
      <c r="C116" s="49" t="str" vm="943">
        <f>CUBEMEMBER("ThisWorkbookDataModel",{"[TPData].[Client].&amp;[Client 218]","[TPData].[Close Month].&amp;[2018-10-01T00:00:00]"})</f>
        <v>10/1/2018</v>
      </c>
      <c r="D116" s="49" t="str">
        <f>INDEX(TPData[Sales Rep],MATCH('Deal Size Analysis'!$B116,TPData[Client],FALSE))</f>
        <v>Rep 1</v>
      </c>
      <c r="E116" s="4" vm="1349">
        <f t="shared" si="6"/>
        <v>2484</v>
      </c>
      <c r="F116" s="4" t="str">
        <f t="shared" si="7"/>
        <v>Small (&lt;5k)</v>
      </c>
    </row>
    <row r="117" spans="2:6" x14ac:dyDescent="0.2">
      <c r="B117" s="49" t="str" vm="857">
        <f>CUBEMEMBER("ThisWorkbookDataModel","[TPData].[Client].&amp;[Client 219]")</f>
        <v>Client 219</v>
      </c>
      <c r="C117" s="49" t="str" vm="619">
        <f>CUBEMEMBER("ThisWorkbookDataModel",{"[TPData].[Client].&amp;[Client 219]","[TPData].[Close Month].&amp;[2018-10-01T00:00:00]"})</f>
        <v>10/1/2018</v>
      </c>
      <c r="D117" s="49" t="str">
        <f>INDEX(TPData[Sales Rep],MATCH('Deal Size Analysis'!$B117,TPData[Client],FALSE))</f>
        <v>Rep 1</v>
      </c>
      <c r="E117" s="4" vm="1142">
        <f t="shared" si="6"/>
        <v>5896.8</v>
      </c>
      <c r="F117" s="4" t="str">
        <f t="shared" si="7"/>
        <v>Medium (&lt;10k)</v>
      </c>
    </row>
    <row r="118" spans="2:6" x14ac:dyDescent="0.2">
      <c r="B118" s="49" t="str" vm="254">
        <f>CUBEMEMBER("ThisWorkbookDataModel","[TPData].[Client].&amp;[Client 220]")</f>
        <v>Client 220</v>
      </c>
      <c r="C118" s="49" t="str" vm="425">
        <f>CUBEMEMBER("ThisWorkbookDataModel",{"[TPData].[Client].&amp;[Client 220]","[TPData].[Close Month].&amp;[2018-10-01T00:00:00]"})</f>
        <v>10/1/2018</v>
      </c>
      <c r="D118" s="49" t="str">
        <f>INDEX(TPData[Sales Rep],MATCH('Deal Size Analysis'!$B118,TPData[Client],FALSE))</f>
        <v>Rep 1</v>
      </c>
      <c r="E118" s="4" vm="1455">
        <f t="shared" si="6"/>
        <v>3272.4</v>
      </c>
      <c r="F118" s="4" t="str">
        <f t="shared" si="7"/>
        <v>Small (&lt;5k)</v>
      </c>
    </row>
    <row r="119" spans="2:6" x14ac:dyDescent="0.2">
      <c r="B119" s="49" t="str" vm="770">
        <f>CUBEMEMBER("ThisWorkbookDataModel","[TPData].[Client].&amp;[Client 221]")</f>
        <v>Client 221</v>
      </c>
      <c r="C119" s="49" t="str" vm="1029">
        <f>CUBEMEMBER("ThisWorkbookDataModel",{"[TPData].[Client].&amp;[Client 221]","[TPData].[Close Month].&amp;[2018-10-01T00:00:00]"})</f>
        <v>10/1/2018</v>
      </c>
      <c r="D119" s="49" t="str">
        <f>INDEX(TPData[Sales Rep],MATCH('Deal Size Analysis'!$B119,TPData[Client],FALSE))</f>
        <v>Rep 1</v>
      </c>
      <c r="E119" s="4" vm="1402">
        <f t="shared" si="6"/>
        <v>5508</v>
      </c>
      <c r="F119" s="4" t="str">
        <f t="shared" si="7"/>
        <v>Medium (&lt;10k)</v>
      </c>
    </row>
    <row r="120" spans="2:6" x14ac:dyDescent="0.2">
      <c r="B120" s="49" t="str" vm="253">
        <f>CUBEMEMBER("ThisWorkbookDataModel","[TPData].[Client].&amp;[Client 222]")</f>
        <v>Client 222</v>
      </c>
      <c r="C120" s="49" t="str" vm="618">
        <f>CUBEMEMBER("ThisWorkbookDataModel",{"[TPData].[Client].&amp;[Client 222]","[TPData].[Close Month].&amp;[2018-11-01T00:00:00]"})</f>
        <v>11/1/2018</v>
      </c>
      <c r="D120" s="49" t="str">
        <f>INDEX(TPData[Sales Rep],MATCH('Deal Size Analysis'!$B120,TPData[Client],FALSE))</f>
        <v>Rep 1</v>
      </c>
      <c r="E120" s="4" vm="1141">
        <f t="shared" si="6"/>
        <v>12474</v>
      </c>
      <c r="F120" s="4" t="str">
        <f t="shared" si="7"/>
        <v>Large (&lt;20k)</v>
      </c>
    </row>
    <row r="121" spans="2:6" x14ac:dyDescent="0.2">
      <c r="B121" s="49" t="str" vm="424">
        <f>CUBEMEMBER("ThisWorkbookDataModel","[TPData].[Client].&amp;[Client 223]")</f>
        <v>Client 223</v>
      </c>
      <c r="C121" s="49" t="str" vm="942">
        <f>CUBEMEMBER("ThisWorkbookDataModel",{"[TPData].[Client].&amp;[Client 223]","[TPData].[Close Month].&amp;[2018-11-01T00:00:00]"})</f>
        <v>11/1/2018</v>
      </c>
      <c r="D121" s="49" t="str">
        <f>INDEX(TPData[Sales Rep],MATCH('Deal Size Analysis'!$B121,TPData[Client],FALSE))</f>
        <v>Rep 1</v>
      </c>
      <c r="E121" s="4" vm="1348">
        <f t="shared" si="6"/>
        <v>8343</v>
      </c>
      <c r="F121" s="4" t="str">
        <f t="shared" si="7"/>
        <v>Medium (&lt;10k)</v>
      </c>
    </row>
    <row r="122" spans="2:6" x14ac:dyDescent="0.2">
      <c r="B122" s="49" t="str" vm="252">
        <f>CUBEMEMBER("ThisWorkbookDataModel","[TPData].[Client].&amp;[Client 224]")</f>
        <v>Client 224</v>
      </c>
      <c r="C122" s="49" t="str" vm="856">
        <f>CUBEMEMBER("ThisWorkbookDataModel",{"[TPData].[Client].&amp;[Client 224]","[TPData].[Close Month].&amp;[2018-11-01T00:00:00]"})</f>
        <v>11/1/2018</v>
      </c>
      <c r="D122" s="49" t="str">
        <f>INDEX(TPData[Sales Rep],MATCH('Deal Size Analysis'!$B122,TPData[Client],FALSE))</f>
        <v>Rep 1</v>
      </c>
      <c r="E122" s="4" vm="1282">
        <f t="shared" si="6"/>
        <v>5524.2</v>
      </c>
      <c r="F122" s="4" t="str">
        <f t="shared" si="7"/>
        <v>Medium (&lt;10k)</v>
      </c>
    </row>
    <row r="123" spans="2:6" x14ac:dyDescent="0.2">
      <c r="B123" s="49" t="str" vm="617">
        <f>CUBEMEMBER("ThisWorkbookDataModel","[TPData].[Client].&amp;[Client 225]")</f>
        <v>Client 225</v>
      </c>
      <c r="C123" s="49" t="str" vm="423">
        <f>CUBEMEMBER("ThisWorkbookDataModel",{"[TPData].[Client].&amp;[Client 225]","[TPData].[Close Month].&amp;[2018-11-01T00:00:00]"})</f>
        <v>11/1/2018</v>
      </c>
      <c r="D123" s="49" t="str">
        <f>INDEX(TPData[Sales Rep],MATCH('Deal Size Analysis'!$B123,TPData[Client],FALSE))</f>
        <v>Rep 1</v>
      </c>
      <c r="E123" s="4" vm="1456">
        <f t="shared" si="6"/>
        <v>3142.8</v>
      </c>
      <c r="F123" s="4" t="str">
        <f t="shared" si="7"/>
        <v>Small (&lt;5k)</v>
      </c>
    </row>
    <row r="124" spans="2:6" x14ac:dyDescent="0.2">
      <c r="B124" s="49" t="str" vm="251">
        <f>CUBEMEMBER("ThisWorkbookDataModel","[TPData].[Client].&amp;[Client 226]")</f>
        <v>Client 226</v>
      </c>
      <c r="C124" s="49" t="str" vm="769">
        <f>CUBEMEMBER("ThisWorkbookDataModel",{"[TPData].[Client].&amp;[Client 226]","[TPData].[Close Month].&amp;[2018-11-01T00:00:00]"})</f>
        <v>11/1/2018</v>
      </c>
      <c r="D124" s="49" t="str">
        <f>INDEX(TPData[Sales Rep],MATCH('Deal Size Analysis'!$B124,TPData[Client],FALSE))</f>
        <v>Rep 1</v>
      </c>
      <c r="E124" s="4" vm="1307">
        <f t="shared" si="6"/>
        <v>2727</v>
      </c>
      <c r="F124" s="4" t="str">
        <f t="shared" si="7"/>
        <v>Small (&lt;5k)</v>
      </c>
    </row>
    <row r="125" spans="2:6" x14ac:dyDescent="0.2">
      <c r="B125" s="49" t="str" vm="1028">
        <f>CUBEMEMBER("ThisWorkbookDataModel","[TPData].[Client].&amp;[Client 227]")</f>
        <v>Client 227</v>
      </c>
      <c r="C125" s="49" t="str" vm="616">
        <f>CUBEMEMBER("ThisWorkbookDataModel",{"[TPData].[Client].&amp;[Client 227]","[TPData].[Close Month].&amp;[2018-11-01T00:00:00]"})</f>
        <v>11/1/2018</v>
      </c>
      <c r="D125" s="49" t="str">
        <f>INDEX(TPData[Sales Rep],MATCH('Deal Size Analysis'!$B125,TPData[Client],FALSE))</f>
        <v>Rep 1</v>
      </c>
      <c r="E125" s="4" vm="1140">
        <f t="shared" si="6"/>
        <v>1123.2</v>
      </c>
      <c r="F125" s="4" t="str">
        <f t="shared" si="7"/>
        <v>Small (&lt;5k)</v>
      </c>
    </row>
    <row r="126" spans="2:6" x14ac:dyDescent="0.2">
      <c r="B126" s="49" t="str" vm="250">
        <f>CUBEMEMBER("ThisWorkbookDataModel","[TPData].[Client].&amp;[Client 228]")</f>
        <v>Client 228</v>
      </c>
      <c r="C126" s="49" t="str" vm="422">
        <f>CUBEMEMBER("ThisWorkbookDataModel",{"[TPData].[Client].&amp;[Client 228]","[TPData].[Close Month].&amp;[2018-12-01T00:00:00]"})</f>
        <v>12/1/2018</v>
      </c>
      <c r="D126" s="49" t="str">
        <f>INDEX(TPData[Sales Rep],MATCH('Deal Size Analysis'!$B126,TPData[Client],FALSE))</f>
        <v>Rep 1</v>
      </c>
      <c r="E126" s="4" vm="1457">
        <f t="shared" si="6"/>
        <v>1058.4000000000001</v>
      </c>
      <c r="F126" s="4" t="str">
        <f t="shared" si="7"/>
        <v>Small (&lt;5k)</v>
      </c>
    </row>
    <row r="127" spans="2:6" x14ac:dyDescent="0.2">
      <c r="B127" s="49" t="str" vm="941">
        <f>CUBEMEMBER("ThisWorkbookDataModel","[TPData].[Client].&amp;[Client 229]")</f>
        <v>Client 229</v>
      </c>
      <c r="C127" s="49" t="str" vm="855">
        <f>CUBEMEMBER("ThisWorkbookDataModel",{"[TPData].[Client].&amp;[Client 229]","[TPData].[Close Month].&amp;[2018-12-01T00:00:00]"})</f>
        <v>12/1/2018</v>
      </c>
      <c r="D127" s="49" t="str">
        <f>INDEX(TPData[Sales Rep],MATCH('Deal Size Analysis'!$B127,TPData[Client],FALSE))</f>
        <v>Rep 1</v>
      </c>
      <c r="E127" s="4" vm="1281">
        <f t="shared" si="6"/>
        <v>1215</v>
      </c>
      <c r="F127" s="4" t="str">
        <f t="shared" si="7"/>
        <v>Small (&lt;5k)</v>
      </c>
    </row>
    <row r="128" spans="2:6" x14ac:dyDescent="0.2">
      <c r="B128" s="49" t="str" vm="249">
        <f>CUBEMEMBER("ThisWorkbookDataModel","[TPData].[Client].&amp;[Client 230]")</f>
        <v>Client 230</v>
      </c>
      <c r="C128" s="49" t="str" vm="615">
        <f>CUBEMEMBER("ThisWorkbookDataModel",{"[TPData].[Client].&amp;[Client 230]","[TPData].[Close Month].&amp;[2019-01-01T00:00:00]"})</f>
        <v>1/1/2019</v>
      </c>
      <c r="D128" s="49" t="str">
        <f>INDEX(TPData[Sales Rep],MATCH('Deal Size Analysis'!$B128,TPData[Client],FALSE))</f>
        <v>Rep 1</v>
      </c>
      <c r="E128" s="4" vm="1139">
        <f t="shared" si="6"/>
        <v>1944</v>
      </c>
      <c r="F128" s="4" t="str">
        <f t="shared" si="7"/>
        <v>Small (&lt;5k)</v>
      </c>
    </row>
    <row r="129" spans="2:6" x14ac:dyDescent="0.2">
      <c r="B129" s="49" t="str" vm="421">
        <f>CUBEMEMBER("ThisWorkbookDataModel","[TPData].[Client].&amp;[Client 231]")</f>
        <v>Client 231</v>
      </c>
      <c r="C129" s="49" t="str" vm="768">
        <f>CUBEMEMBER("ThisWorkbookDataModel",{"[TPData].[Client].&amp;[Client 231]","[TPData].[Close Month].&amp;[2019-01-01T00:00:00]"})</f>
        <v>1/1/2019</v>
      </c>
      <c r="D129" s="49" t="str">
        <f>INDEX(TPData[Sales Rep],MATCH('Deal Size Analysis'!$B129,TPData[Client],FALSE))</f>
        <v>Rep 1</v>
      </c>
      <c r="E129" s="4" vm="1230">
        <f t="shared" si="6"/>
        <v>4095.0327600000001</v>
      </c>
      <c r="F129" s="4" t="str">
        <f t="shared" si="7"/>
        <v>Small (&lt;5k)</v>
      </c>
    </row>
    <row r="130" spans="2:6" x14ac:dyDescent="0.2">
      <c r="B130" s="49" t="str" vm="248">
        <f>CUBEMEMBER("ThisWorkbookDataModel","[TPData].[Client].&amp;[Client 232]")</f>
        <v>Client 232</v>
      </c>
      <c r="C130" s="49" t="str" vm="1027">
        <f>CUBEMEMBER("ThisWorkbookDataModel",{"[TPData].[Client].&amp;[Client 232]","[TPData].[Close Month].&amp;[2019-01-01T00:00:00]"})</f>
        <v>1/1/2019</v>
      </c>
      <c r="D130" s="49" t="str">
        <f>INDEX(TPData[Sales Rep],MATCH('Deal Size Analysis'!$B130,TPData[Client],FALSE))</f>
        <v>Rep 1</v>
      </c>
      <c r="E130" s="4" vm="1401">
        <f t="shared" si="6"/>
        <v>24721.200000000004</v>
      </c>
      <c r="F130" s="4" t="str">
        <f t="shared" si="7"/>
        <v>Mega (20k+)</v>
      </c>
    </row>
    <row r="131" spans="2:6" x14ac:dyDescent="0.2">
      <c r="B131" s="49" t="str" vm="614">
        <f>CUBEMEMBER("ThisWorkbookDataModel","[TPData].[Client].&amp;[Client 233]")</f>
        <v>Client 233</v>
      </c>
      <c r="C131" s="49" t="str" vm="420">
        <f>CUBEMEMBER("ThisWorkbookDataModel",{"[TPData].[Client].&amp;[Client 233]","[TPData].[Close Month].&amp;[2019-01-01T00:00:00]"})</f>
        <v>1/1/2019</v>
      </c>
      <c r="D131" s="49" t="str">
        <f>INDEX(TPData[Sales Rep],MATCH('Deal Size Analysis'!$B131,TPData[Client],FALSE))</f>
        <v>Rep 1</v>
      </c>
      <c r="E131" s="4" vm="1458">
        <f t="shared" si="6"/>
        <v>51226.560000000005</v>
      </c>
      <c r="F131" s="4" t="str">
        <f t="shared" si="7"/>
        <v>Mega (20k+)</v>
      </c>
    </row>
    <row r="132" spans="2:6" x14ac:dyDescent="0.2">
      <c r="B132" s="49" t="str" vm="247">
        <f>CUBEMEMBER("ThisWorkbookDataModel","[TPData].[Client].&amp;[Client 234]")</f>
        <v>Client 234</v>
      </c>
      <c r="C132" s="49" t="str" vm="940">
        <f>CUBEMEMBER("ThisWorkbookDataModel",{"[TPData].[Client].&amp;[Client 234]","[TPData].[Close Month].&amp;[2019-01-01T00:00:00]"})</f>
        <v>1/1/2019</v>
      </c>
      <c r="D132" s="49" t="str">
        <f>INDEX(TPData[Sales Rep],MATCH('Deal Size Analysis'!$B132,TPData[Client],FALSE))</f>
        <v>Rep 1</v>
      </c>
      <c r="E132" s="4" vm="1347">
        <f t="shared" si="6"/>
        <v>1444.5</v>
      </c>
      <c r="F132" s="4" t="str">
        <f t="shared" si="7"/>
        <v>Small (&lt;5k)</v>
      </c>
    </row>
    <row r="133" spans="2:6" x14ac:dyDescent="0.2">
      <c r="B133" s="49" t="str" vm="854">
        <f>CUBEMEMBER("ThisWorkbookDataModel","[TPData].[Client].&amp;[Client 235]")</f>
        <v>Client 235</v>
      </c>
      <c r="C133" s="49" t="str" vm="613">
        <f>CUBEMEMBER("ThisWorkbookDataModel",{"[TPData].[Client].&amp;[Client 235]","[TPData].[Close Month].&amp;[2019-02-01T00:00:00]"})</f>
        <v>2/1/2019</v>
      </c>
      <c r="D133" s="49" t="str">
        <f>INDEX(TPData[Sales Rep],MATCH('Deal Size Analysis'!$B133,TPData[Client],FALSE))</f>
        <v>Rep 1</v>
      </c>
      <c r="E133" s="4" vm="1138">
        <f t="shared" ref="E133:E196" si="8">CUBEVALUE("ThisWorkbookDataModel",$C133,E$4)</f>
        <v>3337.2</v>
      </c>
      <c r="F133" s="4" t="str">
        <f t="shared" si="7"/>
        <v>Small (&lt;5k)</v>
      </c>
    </row>
    <row r="134" spans="2:6" x14ac:dyDescent="0.2">
      <c r="B134" s="49" t="str" vm="246">
        <f>CUBEMEMBER("ThisWorkbookDataModel","[TPData].[Client].&amp;[Client 236]")</f>
        <v>Client 236</v>
      </c>
      <c r="C134" s="49" t="str" vm="419">
        <f>CUBEMEMBER("ThisWorkbookDataModel",{"[TPData].[Client].&amp;[Client 236]","[TPData].[Close Month].&amp;[2019-02-01T00:00:00]"})</f>
        <v>2/1/2019</v>
      </c>
      <c r="D134" s="49" t="str">
        <f>INDEX(TPData[Sales Rep],MATCH('Deal Size Analysis'!$B134,TPData[Client],FALSE))</f>
        <v>Rep 1</v>
      </c>
      <c r="E134" s="4" vm="1459">
        <f t="shared" si="8"/>
        <v>1652.3999999999999</v>
      </c>
      <c r="F134" s="4" t="str">
        <f t="shared" ref="F134:F197" si="9">IF(E134&lt;=5000,$H$9,IF((E134&lt;10000),$H$10,IF((E134&lt;20000),$H$11,IF((E134&gt;=20000),$H$12))))</f>
        <v>Small (&lt;5k)</v>
      </c>
    </row>
    <row r="135" spans="2:6" x14ac:dyDescent="0.2">
      <c r="B135" s="49" t="str" vm="767">
        <f>CUBEMEMBER("ThisWorkbookDataModel","[TPData].[Client].&amp;[Client 237]")</f>
        <v>Client 237</v>
      </c>
      <c r="C135" s="49" t="str" vm="1026">
        <f>CUBEMEMBER("ThisWorkbookDataModel",{"[TPData].[Client].&amp;[Client 237]","[TPData].[Close Month].&amp;[2019-03-01T00:00:00]"})</f>
        <v>3/1/2019</v>
      </c>
      <c r="D135" s="49" t="str">
        <f>INDEX(TPData[Sales Rep],MATCH('Deal Size Analysis'!$B135,TPData[Client],FALSE))</f>
        <v>Rep 1</v>
      </c>
      <c r="E135" s="4" vm="1400">
        <f t="shared" si="8"/>
        <v>2322.0432000000001</v>
      </c>
      <c r="F135" s="4" t="str">
        <f t="shared" si="9"/>
        <v>Small (&lt;5k)</v>
      </c>
    </row>
    <row r="136" spans="2:6" x14ac:dyDescent="0.2">
      <c r="B136" s="49" t="str" vm="245">
        <f>CUBEMEMBER("ThisWorkbookDataModel","[TPData].[Client].&amp;[Client 238]")</f>
        <v>Client 238</v>
      </c>
      <c r="C136" s="49" t="str" vm="612">
        <f>CUBEMEMBER("ThisWorkbookDataModel",{"[TPData].[Client].&amp;[Client 238]","[TPData].[Close Month].&amp;[2019-03-01T00:00:00]"})</f>
        <v>3/1/2019</v>
      </c>
      <c r="D136" s="49" t="str">
        <f>INDEX(TPData[Sales Rep],MATCH('Deal Size Analysis'!$B136,TPData[Client],FALSE))</f>
        <v>Rep 1</v>
      </c>
      <c r="E136" s="4" vm="1137">
        <f t="shared" si="8"/>
        <v>15390</v>
      </c>
      <c r="F136" s="4" t="str">
        <f t="shared" si="9"/>
        <v>Large (&lt;20k)</v>
      </c>
    </row>
    <row r="137" spans="2:6" x14ac:dyDescent="0.2">
      <c r="B137" s="49" t="str" vm="418">
        <f>CUBEMEMBER("ThisWorkbookDataModel","[TPData].[Client].&amp;[Client 239]")</f>
        <v>Client 239</v>
      </c>
      <c r="C137" s="49" t="str" vm="939">
        <f>CUBEMEMBER("ThisWorkbookDataModel",{"[TPData].[Client].&amp;[Client 239]","[TPData].[Close Month].&amp;[2019-03-01T00:00:00]"})</f>
        <v>3/1/2019</v>
      </c>
      <c r="D137" s="49" t="str">
        <f>INDEX(TPData[Sales Rep],MATCH('Deal Size Analysis'!$B137,TPData[Client],FALSE))</f>
        <v>Rep 1</v>
      </c>
      <c r="E137" s="4" vm="1346">
        <f t="shared" si="8"/>
        <v>47511.360000000001</v>
      </c>
      <c r="F137" s="4" t="str">
        <f t="shared" si="9"/>
        <v>Mega (20k+)</v>
      </c>
    </row>
    <row r="138" spans="2:6" x14ac:dyDescent="0.2">
      <c r="B138" s="49" t="str" vm="244">
        <f>CUBEMEMBER("ThisWorkbookDataModel","[TPData].[Client].&amp;[Client 240]")</f>
        <v>Client 240</v>
      </c>
      <c r="C138" s="49" t="str" vm="853">
        <f>CUBEMEMBER("ThisWorkbookDataModel",{"[TPData].[Client].&amp;[Client 240]","[TPData].[Close Month].&amp;[2019-03-01T00:00:00]"})</f>
        <v>3/1/2019</v>
      </c>
      <c r="D138" s="49" t="str">
        <f>INDEX(TPData[Sales Rep],MATCH('Deal Size Analysis'!$B138,TPData[Client],FALSE))</f>
        <v>Rep 1</v>
      </c>
      <c r="E138" s="4" vm="1280">
        <f t="shared" si="8"/>
        <v>15714</v>
      </c>
      <c r="F138" s="4" t="str">
        <f t="shared" si="9"/>
        <v>Large (&lt;20k)</v>
      </c>
    </row>
    <row r="139" spans="2:6" x14ac:dyDescent="0.2">
      <c r="B139" s="49" t="str" vm="611">
        <f>CUBEMEMBER("ThisWorkbookDataModel","[TPData].[Client].&amp;[Client 241]")</f>
        <v>Client 241</v>
      </c>
      <c r="C139" s="49" t="str" vm="417">
        <f>CUBEMEMBER("ThisWorkbookDataModel",{"[TPData].[Client].&amp;[Client 241]","[TPData].[Close Month].&amp;[2019-03-01T00:00:00]"})</f>
        <v>3/1/2019</v>
      </c>
      <c r="D139" s="49" t="str">
        <f>INDEX(TPData[Sales Rep],MATCH('Deal Size Analysis'!$B139,TPData[Client],FALSE))</f>
        <v>Rep 1</v>
      </c>
      <c r="E139" s="4" vm="1460">
        <f t="shared" si="8"/>
        <v>3434.4</v>
      </c>
      <c r="F139" s="4" t="str">
        <f t="shared" si="9"/>
        <v>Small (&lt;5k)</v>
      </c>
    </row>
    <row r="140" spans="2:6" x14ac:dyDescent="0.2">
      <c r="B140" s="49" t="str" vm="243">
        <f>CUBEMEMBER("ThisWorkbookDataModel","[TPData].[Client].&amp;[Client 242]")</f>
        <v>Client 242</v>
      </c>
      <c r="C140" s="49" t="str" vm="766">
        <f>CUBEMEMBER("ThisWorkbookDataModel",{"[TPData].[Client].&amp;[Client 242]","[TPData].[Close Month].&amp;[2019-03-01T00:00:00]"})</f>
        <v>3/1/2019</v>
      </c>
      <c r="D140" s="49" t="str">
        <f>INDEX(TPData[Sales Rep],MATCH('Deal Size Analysis'!$B140,TPData[Client],FALSE))</f>
        <v>Rep 1</v>
      </c>
      <c r="E140" s="4" vm="1229">
        <f t="shared" si="8"/>
        <v>20023.2</v>
      </c>
      <c r="F140" s="4" t="str">
        <f t="shared" si="9"/>
        <v>Mega (20k+)</v>
      </c>
    </row>
    <row r="141" spans="2:6" x14ac:dyDescent="0.2">
      <c r="B141" s="49" t="str" vm="1025">
        <f>CUBEMEMBER("ThisWorkbookDataModel","[TPData].[Client].&amp;[Client 243]")</f>
        <v>Client 243</v>
      </c>
      <c r="C141" s="49" t="str" vm="610">
        <f>CUBEMEMBER("ThisWorkbookDataModel",{"[TPData].[Client].&amp;[Client 243]","[TPData].[Close Month].&amp;[2019-03-01T00:00:00]"})</f>
        <v>3/1/2019</v>
      </c>
      <c r="D141" s="49" t="str">
        <f>INDEX(TPData[Sales Rep],MATCH('Deal Size Analysis'!$B141,TPData[Client],FALSE))</f>
        <v>Rep 1</v>
      </c>
      <c r="E141" s="4" vm="1136">
        <f t="shared" si="8"/>
        <v>12700.8</v>
      </c>
      <c r="F141" s="4" t="str">
        <f t="shared" si="9"/>
        <v>Large (&lt;20k)</v>
      </c>
    </row>
    <row r="142" spans="2:6" x14ac:dyDescent="0.2">
      <c r="B142" s="49" t="str" vm="242">
        <f>CUBEMEMBER("ThisWorkbookDataModel","[TPData].[Client].&amp;[Client 244]")</f>
        <v>Client 244</v>
      </c>
      <c r="C142" s="49" t="str" vm="416">
        <f>CUBEMEMBER("ThisWorkbookDataModel",{"[TPData].[Client].&amp;[Client 244]","[TPData].[Close Month].&amp;[2019-03-01T00:00:00]"})</f>
        <v>3/1/2019</v>
      </c>
      <c r="D142" s="49" t="str">
        <f>INDEX(TPData[Sales Rep],MATCH('Deal Size Analysis'!$B142,TPData[Client],FALSE))</f>
        <v>Rep 1</v>
      </c>
      <c r="E142" s="4" vm="1461">
        <f t="shared" si="8"/>
        <v>2131.92</v>
      </c>
      <c r="F142" s="4" t="str">
        <f t="shared" si="9"/>
        <v>Small (&lt;5k)</v>
      </c>
    </row>
    <row r="143" spans="2:6" x14ac:dyDescent="0.2">
      <c r="B143" s="49" t="str" vm="938">
        <f>CUBEMEMBER("ThisWorkbookDataModel","[TPData].[Client].&amp;[Client 245]")</f>
        <v>Client 245</v>
      </c>
      <c r="C143" s="49" t="str" vm="852">
        <f>CUBEMEMBER("ThisWorkbookDataModel",{"[TPData].[Client].&amp;[Client 245]","[TPData].[Close Month].&amp;[2019-04-01T00:00:00]"})</f>
        <v>4/1/2019</v>
      </c>
      <c r="D143" s="49" t="str">
        <f>INDEX(TPData[Sales Rep],MATCH('Deal Size Analysis'!$B143,TPData[Client],FALSE))</f>
        <v>Rep 1</v>
      </c>
      <c r="E143" s="4" vm="1279">
        <f t="shared" si="8"/>
        <v>5248.8</v>
      </c>
      <c r="F143" s="4" t="str">
        <f t="shared" si="9"/>
        <v>Medium (&lt;10k)</v>
      </c>
    </row>
    <row r="144" spans="2:6" x14ac:dyDescent="0.2">
      <c r="B144" s="49" t="str" vm="241">
        <f>CUBEMEMBER("ThisWorkbookDataModel","[TPData].[Client].&amp;[Client 246]")</f>
        <v>Client 246</v>
      </c>
      <c r="C144" s="49" t="str" vm="609">
        <f>CUBEMEMBER("ThisWorkbookDataModel",{"[TPData].[Client].&amp;[Client 246]","[TPData].[Close Month].&amp;[2019-04-01T00:00:00]"})</f>
        <v>4/1/2019</v>
      </c>
      <c r="D144" s="49" t="str">
        <f>INDEX(TPData[Sales Rep],MATCH('Deal Size Analysis'!$B144,TPData[Client],FALSE))</f>
        <v>Rep 1</v>
      </c>
      <c r="E144" s="4" vm="1135">
        <f t="shared" si="8"/>
        <v>8398.08</v>
      </c>
      <c r="F144" s="4" t="str">
        <f t="shared" si="9"/>
        <v>Medium (&lt;10k)</v>
      </c>
    </row>
    <row r="145" spans="2:6" x14ac:dyDescent="0.2">
      <c r="B145" s="49" t="str" vm="415">
        <f>CUBEMEMBER("ThisWorkbookDataModel","[TPData].[Client].&amp;[Client 247]")</f>
        <v>Client 247</v>
      </c>
      <c r="C145" s="49" t="str" vm="765">
        <f>CUBEMEMBER("ThisWorkbookDataModel",{"[TPData].[Client].&amp;[Client 247]","[TPData].[Close Month].&amp;[2019-05-01T00:00:00]"})</f>
        <v>5/1/2019</v>
      </c>
      <c r="D145" s="49" t="str">
        <f>INDEX(TPData[Sales Rep],MATCH('Deal Size Analysis'!$B145,TPData[Client],FALSE))</f>
        <v>Rep 1</v>
      </c>
      <c r="E145" s="4" vm="1228">
        <f t="shared" si="8"/>
        <v>40824</v>
      </c>
      <c r="F145" s="4" t="str">
        <f t="shared" si="9"/>
        <v>Mega (20k+)</v>
      </c>
    </row>
    <row r="146" spans="2:6" x14ac:dyDescent="0.2">
      <c r="B146" s="49" t="str" vm="240">
        <f>CUBEMEMBER("ThisWorkbookDataModel","[TPData].[Client].&amp;[Client 248]")</f>
        <v>Client 248</v>
      </c>
      <c r="C146" s="49" t="str" vm="1024">
        <f>CUBEMEMBER("ThisWorkbookDataModel",{"[TPData].[Client].&amp;[Client 248]","[TPData].[Close Month].&amp;[2019-05-01T00:00:00]"})</f>
        <v>5/1/2019</v>
      </c>
      <c r="D146" s="49" t="str">
        <f>INDEX(TPData[Sales Rep],MATCH('Deal Size Analysis'!$B146,TPData[Client],FALSE))</f>
        <v>Rep 1</v>
      </c>
      <c r="E146" s="4" vm="1399">
        <f t="shared" si="8"/>
        <v>1474.2</v>
      </c>
      <c r="F146" s="4" t="str">
        <f t="shared" si="9"/>
        <v>Small (&lt;5k)</v>
      </c>
    </row>
    <row r="147" spans="2:6" x14ac:dyDescent="0.2">
      <c r="B147" s="49" t="str" vm="608">
        <f>CUBEMEMBER("ThisWorkbookDataModel","[TPData].[Client].&amp;[Client 249]")</f>
        <v>Client 249</v>
      </c>
      <c r="C147" s="49" t="str" vm="414">
        <f>CUBEMEMBER("ThisWorkbookDataModel",{"[TPData].[Client].&amp;[Client 249]","[TPData].[Close Month].&amp;[2019-05-01T00:00:00]"})</f>
        <v>5/1/2019</v>
      </c>
      <c r="D147" s="49" t="str">
        <f>INDEX(TPData[Sales Rep],MATCH('Deal Size Analysis'!$B147,TPData[Client],FALSE))</f>
        <v>Rep 1</v>
      </c>
      <c r="E147" s="4" vm="1462">
        <f t="shared" si="8"/>
        <v>8748</v>
      </c>
      <c r="F147" s="4" t="str">
        <f t="shared" si="9"/>
        <v>Medium (&lt;10k)</v>
      </c>
    </row>
    <row r="148" spans="2:6" x14ac:dyDescent="0.2">
      <c r="B148" s="49" t="str" vm="239">
        <f>CUBEMEMBER("ThisWorkbookDataModel","[TPData].[Client].&amp;[Client 250]")</f>
        <v>Client 250</v>
      </c>
      <c r="C148" s="49" t="str" vm="937">
        <f>CUBEMEMBER("ThisWorkbookDataModel",{"[TPData].[Client].&amp;[Client 250]","[TPData].[Close Month].&amp;[2019-05-01T00:00:00]"})</f>
        <v>5/1/2019</v>
      </c>
      <c r="D148" s="49" t="str">
        <f>INDEX(TPData[Sales Rep],MATCH('Deal Size Analysis'!$B148,TPData[Client],FALSE))</f>
        <v>Rep 1</v>
      </c>
      <c r="E148" s="4" vm="1345">
        <f t="shared" si="8"/>
        <v>14113.44</v>
      </c>
      <c r="F148" s="4" t="str">
        <f t="shared" si="9"/>
        <v>Large (&lt;20k)</v>
      </c>
    </row>
    <row r="149" spans="2:6" x14ac:dyDescent="0.2">
      <c r="B149" s="49" t="str" vm="851">
        <f>CUBEMEMBER("ThisWorkbookDataModel","[TPData].[Client].&amp;[Client 251]")</f>
        <v>Client 251</v>
      </c>
      <c r="C149" s="49" t="str" vm="607">
        <f>CUBEMEMBER("ThisWorkbookDataModel",{"[TPData].[Client].&amp;[Client 251]","[TPData].[Close Month].&amp;[2019-06-01T00:00:00]"})</f>
        <v>6/1/2019</v>
      </c>
      <c r="D149" s="49" t="str">
        <f>INDEX(TPData[Sales Rep],MATCH('Deal Size Analysis'!$B149,TPData[Client],FALSE))</f>
        <v>Rep 1</v>
      </c>
      <c r="E149" s="4" vm="1159">
        <f t="shared" si="8"/>
        <v>2060.64</v>
      </c>
      <c r="F149" s="4" t="str">
        <f t="shared" si="9"/>
        <v>Small (&lt;5k)</v>
      </c>
    </row>
    <row r="150" spans="2:6" x14ac:dyDescent="0.2">
      <c r="B150" s="49" t="str" vm="238">
        <f>CUBEMEMBER("ThisWorkbookDataModel","[TPData].[Client].&amp;[Client 252]")</f>
        <v>Client 252</v>
      </c>
      <c r="C150" s="49" t="str" vm="413">
        <f>CUBEMEMBER("ThisWorkbookDataModel",{"[TPData].[Client].&amp;[Client 252]","[TPData].[Close Month].&amp;[2019-06-01T00:00:00]"})</f>
        <v>6/1/2019</v>
      </c>
      <c r="D150" s="49" t="str">
        <f>INDEX(TPData[Sales Rep],MATCH('Deal Size Analysis'!$B150,TPData[Client],FALSE))</f>
        <v>Rep 1</v>
      </c>
      <c r="E150" s="4" vm="1463">
        <f t="shared" si="8"/>
        <v>10368</v>
      </c>
      <c r="F150" s="4" t="str">
        <f t="shared" si="9"/>
        <v>Large (&lt;20k)</v>
      </c>
    </row>
    <row r="151" spans="2:6" x14ac:dyDescent="0.2">
      <c r="B151" s="49" t="str" vm="764">
        <f>CUBEMEMBER("ThisWorkbookDataModel","[TPData].[Client].&amp;[Client 253]")</f>
        <v>Client 253</v>
      </c>
      <c r="C151" s="49" t="str" vm="1023">
        <f>CUBEMEMBER("ThisWorkbookDataModel",{"[TPData].[Client].&amp;[Client 253]","[TPData].[Close Month].&amp;[2019-06-01T00:00:00]"})</f>
        <v>6/1/2019</v>
      </c>
      <c r="D151" s="49" t="str">
        <f>INDEX(TPData[Sales Rep],MATCH('Deal Size Analysis'!$B151,TPData[Client],FALSE))</f>
        <v>Rep 1</v>
      </c>
      <c r="E151" s="4" vm="1398">
        <f t="shared" si="8"/>
        <v>6609.5999999999995</v>
      </c>
      <c r="F151" s="4" t="str">
        <f t="shared" si="9"/>
        <v>Medium (&lt;10k)</v>
      </c>
    </row>
    <row r="152" spans="2:6" x14ac:dyDescent="0.2">
      <c r="B152" s="49" t="str" vm="237">
        <f>CUBEMEMBER("ThisWorkbookDataModel","[TPData].[Client].&amp;[Client 254]")</f>
        <v>Client 254</v>
      </c>
      <c r="C152" s="49" t="str" vm="606">
        <f>CUBEMEMBER("ThisWorkbookDataModel",{"[TPData].[Client].&amp;[Client 254]","[TPData].[Close Month].&amp;[2019-06-01T00:00:00]"})</f>
        <v>6/1/2019</v>
      </c>
      <c r="D152" s="49" t="str">
        <f>INDEX(TPData[Sales Rep],MATCH('Deal Size Analysis'!$B152,TPData[Client],FALSE))</f>
        <v>Rep 1</v>
      </c>
      <c r="E152" s="4" vm="1134">
        <f t="shared" si="8"/>
        <v>2116.8423360000002</v>
      </c>
      <c r="F152" s="4" t="str">
        <f t="shared" si="9"/>
        <v>Small (&lt;5k)</v>
      </c>
    </row>
    <row r="153" spans="2:6" x14ac:dyDescent="0.2">
      <c r="B153" s="49" t="str" vm="412">
        <f>CUBEMEMBER("ThisWorkbookDataModel","[TPData].[Client].&amp;[Client 255]")</f>
        <v>Client 255</v>
      </c>
      <c r="C153" s="49" t="str" vm="936">
        <f>CUBEMEMBER("ThisWorkbookDataModel",{"[TPData].[Client].&amp;[Client 255]","[TPData].[Close Month].&amp;[2019-06-01T00:00:00]"})</f>
        <v>6/1/2019</v>
      </c>
      <c r="D153" s="49" t="str">
        <f>INDEX(TPData[Sales Rep],MATCH('Deal Size Analysis'!$B153,TPData[Client],FALSE))</f>
        <v>Rep 1</v>
      </c>
      <c r="E153" s="4" vm="1344">
        <f t="shared" si="8"/>
        <v>5562.0444959999995</v>
      </c>
      <c r="F153" s="4" t="str">
        <f t="shared" si="9"/>
        <v>Medium (&lt;10k)</v>
      </c>
    </row>
    <row r="154" spans="2:6" x14ac:dyDescent="0.2">
      <c r="B154" s="49" t="str" vm="236">
        <f>CUBEMEMBER("ThisWorkbookDataModel","[TPData].[Client].&amp;[Client 256]")</f>
        <v>Client 256</v>
      </c>
      <c r="C154" s="49" t="str" vm="850">
        <f>CUBEMEMBER("ThisWorkbookDataModel",{"[TPData].[Client].&amp;[Client 256]","[TPData].[Close Month].&amp;[2018-08-01T00:00:00]"})</f>
        <v>8/1/2018</v>
      </c>
      <c r="D154" s="49" t="str">
        <f>INDEX(TPData[Sales Rep],MATCH('Deal Size Analysis'!$B154,TPData[Client],FALSE))</f>
        <v>Rep 16</v>
      </c>
      <c r="E154" s="4" vm="1278">
        <f t="shared" si="8"/>
        <v>6468.0940799999989</v>
      </c>
      <c r="F154" s="4" t="str">
        <f t="shared" si="9"/>
        <v>Medium (&lt;10k)</v>
      </c>
    </row>
    <row r="155" spans="2:6" x14ac:dyDescent="0.2">
      <c r="B155" s="49" t="str" vm="605">
        <f>CUBEMEMBER("ThisWorkbookDataModel","[TPData].[Client].&amp;[Client 257]")</f>
        <v>Client 257</v>
      </c>
      <c r="C155" s="49" t="str" vm="411">
        <f>CUBEMEMBER("ThisWorkbookDataModel",{"[TPData].[Client].&amp;[Client 257]","[TPData].[Close Month].&amp;[2018-08-01T00:00:00]"})</f>
        <v>8/1/2018</v>
      </c>
      <c r="D155" s="49" t="str">
        <f>INDEX(TPData[Sales Rep],MATCH('Deal Size Analysis'!$B155,TPData[Client],FALSE))</f>
        <v>Rep 16</v>
      </c>
      <c r="E155" s="4" vm="1464">
        <f t="shared" si="8"/>
        <v>8640</v>
      </c>
      <c r="F155" s="4" t="str">
        <f t="shared" si="9"/>
        <v>Medium (&lt;10k)</v>
      </c>
    </row>
    <row r="156" spans="2:6" x14ac:dyDescent="0.2">
      <c r="B156" s="49" t="str" vm="235">
        <f>CUBEMEMBER("ThisWorkbookDataModel","[TPData].[Client].&amp;[Client 258]")</f>
        <v>Client 258</v>
      </c>
      <c r="C156" s="49" t="str" vm="763">
        <f>CUBEMEMBER("ThisWorkbookDataModel",{"[TPData].[Client].&amp;[Client 258]","[TPData].[Close Month].&amp;[2018-09-01T00:00:00]"})</f>
        <v>9/1/2018</v>
      </c>
      <c r="D156" s="49" t="str">
        <f>INDEX(TPData[Sales Rep],MATCH('Deal Size Analysis'!$B156,TPData[Client],FALSE))</f>
        <v>Rep 16</v>
      </c>
      <c r="E156" s="4" vm="1227">
        <f t="shared" si="8"/>
        <v>1497.6</v>
      </c>
      <c r="F156" s="4" t="str">
        <f t="shared" si="9"/>
        <v>Small (&lt;5k)</v>
      </c>
    </row>
    <row r="157" spans="2:6" x14ac:dyDescent="0.2">
      <c r="B157" s="49" t="str" vm="1022">
        <f>CUBEMEMBER("ThisWorkbookDataModel","[TPData].[Client].&amp;[Client 259]")</f>
        <v>Client 259</v>
      </c>
      <c r="C157" s="49" t="str" vm="604">
        <f>CUBEMEMBER("ThisWorkbookDataModel",{"[TPData].[Client].&amp;[Client 259]","[TPData].[Close Month].&amp;[2018-09-01T00:00:00]"})</f>
        <v>9/1/2018</v>
      </c>
      <c r="D157" s="49" t="str">
        <f>INDEX(TPData[Sales Rep],MATCH('Deal Size Analysis'!$B157,TPData[Client],FALSE))</f>
        <v>Rep 16</v>
      </c>
      <c r="E157" s="4" vm="1133">
        <f t="shared" si="8"/>
        <v>2368.7999999999997</v>
      </c>
      <c r="F157" s="4" t="str">
        <f t="shared" si="9"/>
        <v>Small (&lt;5k)</v>
      </c>
    </row>
    <row r="158" spans="2:6" x14ac:dyDescent="0.2">
      <c r="B158" s="49" t="str" vm="234">
        <f>CUBEMEMBER("ThisWorkbookDataModel","[TPData].[Client].&amp;[Client 260]")</f>
        <v>Client 260</v>
      </c>
      <c r="C158" s="49" t="str" vm="410">
        <f>CUBEMEMBER("ThisWorkbookDataModel",{"[TPData].[Client].&amp;[Client 260]","[TPData].[Close Month].&amp;[2018-10-01T00:00:00]"})</f>
        <v>10/1/2018</v>
      </c>
      <c r="D158" s="49" t="str">
        <f>INDEX(TPData[Sales Rep],MATCH('Deal Size Analysis'!$B158,TPData[Client],FALSE))</f>
        <v>Rep 16</v>
      </c>
      <c r="E158" s="4" vm="1465">
        <f t="shared" si="8"/>
        <v>1324.8</v>
      </c>
      <c r="F158" s="4" t="str">
        <f t="shared" si="9"/>
        <v>Small (&lt;5k)</v>
      </c>
    </row>
    <row r="159" spans="2:6" x14ac:dyDescent="0.2">
      <c r="B159" s="49" t="str" vm="935">
        <f>CUBEMEMBER("ThisWorkbookDataModel","[TPData].[Client].&amp;[Client 261]")</f>
        <v>Client 261</v>
      </c>
      <c r="C159" s="49" t="str" vm="849">
        <f>CUBEMEMBER("ThisWorkbookDataModel",{"[TPData].[Client].&amp;[Client 261]","[TPData].[Close Month].&amp;[2018-11-01T00:00:00]"})</f>
        <v>11/1/2018</v>
      </c>
      <c r="D159" s="49" t="str">
        <f>INDEX(TPData[Sales Rep],MATCH('Deal Size Analysis'!$B159,TPData[Client],FALSE))</f>
        <v>Rep 16</v>
      </c>
      <c r="E159" s="4" vm="1277">
        <f t="shared" si="8"/>
        <v>6624</v>
      </c>
      <c r="F159" s="4" t="str">
        <f t="shared" si="9"/>
        <v>Medium (&lt;10k)</v>
      </c>
    </row>
    <row r="160" spans="2:6" x14ac:dyDescent="0.2">
      <c r="B160" s="49" t="str" vm="233">
        <f>CUBEMEMBER("ThisWorkbookDataModel","[TPData].[Client].&amp;[Client 262]")</f>
        <v>Client 262</v>
      </c>
      <c r="C160" s="49" t="str" vm="603">
        <f>CUBEMEMBER("ThisWorkbookDataModel",{"[TPData].[Client].&amp;[Client 262]","[TPData].[Close Month].&amp;[2018-12-01T00:00:00]"})</f>
        <v>12/1/2018</v>
      </c>
      <c r="D160" s="49" t="str">
        <f>INDEX(TPData[Sales Rep],MATCH('Deal Size Analysis'!$B160,TPData[Client],FALSE))</f>
        <v>Rep 16</v>
      </c>
      <c r="E160" s="4" vm="1132">
        <f t="shared" si="8"/>
        <v>3888</v>
      </c>
      <c r="F160" s="4" t="str">
        <f t="shared" si="9"/>
        <v>Small (&lt;5k)</v>
      </c>
    </row>
    <row r="161" spans="2:6" x14ac:dyDescent="0.2">
      <c r="B161" s="49" t="str" vm="409">
        <f>CUBEMEMBER("ThisWorkbookDataModel","[TPData].[Client].&amp;[Client 263]")</f>
        <v>Client 263</v>
      </c>
      <c r="C161" s="49" t="str" vm="762">
        <f>CUBEMEMBER("ThisWorkbookDataModel",{"[TPData].[Client].&amp;[Client 263]","[TPData].[Close Month].&amp;[2019-01-01T00:00:00]"})</f>
        <v>1/1/2019</v>
      </c>
      <c r="D161" s="49" t="str">
        <f>INDEX(TPData[Sales Rep],MATCH('Deal Size Analysis'!$B161,TPData[Client],FALSE))</f>
        <v>Rep 16</v>
      </c>
      <c r="E161" s="4" vm="1226">
        <f t="shared" si="8"/>
        <v>3780</v>
      </c>
      <c r="F161" s="4" t="str">
        <f t="shared" si="9"/>
        <v>Small (&lt;5k)</v>
      </c>
    </row>
    <row r="162" spans="2:6" x14ac:dyDescent="0.2">
      <c r="B162" s="49" t="str" vm="232">
        <f>CUBEMEMBER("ThisWorkbookDataModel","[TPData].[Client].&amp;[Client 264]")</f>
        <v>Client 264</v>
      </c>
      <c r="C162" s="49" t="str" vm="1021">
        <f>CUBEMEMBER("ThisWorkbookDataModel",{"[TPData].[Client].&amp;[Client 264]","[TPData].[Close Month].&amp;[2019-01-01T00:00:00]"})</f>
        <v>1/1/2019</v>
      </c>
      <c r="D162" s="49" t="str">
        <f>INDEX(TPData[Sales Rep],MATCH('Deal Size Analysis'!$B162,TPData[Client],FALSE))</f>
        <v>Rep 16</v>
      </c>
      <c r="E162" s="4" vm="1397">
        <f t="shared" si="8"/>
        <v>8553.6</v>
      </c>
      <c r="F162" s="4" t="str">
        <f t="shared" si="9"/>
        <v>Medium (&lt;10k)</v>
      </c>
    </row>
    <row r="163" spans="2:6" x14ac:dyDescent="0.2">
      <c r="B163" s="49" t="str" vm="602">
        <f>CUBEMEMBER("ThisWorkbookDataModel","[TPData].[Client].&amp;[Client 265]")</f>
        <v>Client 265</v>
      </c>
      <c r="C163" s="49" t="str" vm="408">
        <f>CUBEMEMBER("ThisWorkbookDataModel",{"[TPData].[Client].&amp;[Client 265]","[TPData].[Close Month].&amp;[2019-02-01T00:00:00]"})</f>
        <v>2/1/2019</v>
      </c>
      <c r="D163" s="49" t="str">
        <f>INDEX(TPData[Sales Rep],MATCH('Deal Size Analysis'!$B163,TPData[Client],FALSE))</f>
        <v>Rep 16</v>
      </c>
      <c r="E163" s="4" vm="1466">
        <f t="shared" si="8"/>
        <v>2772</v>
      </c>
      <c r="F163" s="4" t="str">
        <f t="shared" si="9"/>
        <v>Small (&lt;5k)</v>
      </c>
    </row>
    <row r="164" spans="2:6" x14ac:dyDescent="0.2">
      <c r="B164" s="49" t="str" vm="231">
        <f>CUBEMEMBER("ThisWorkbookDataModel","[TPData].[Client].&amp;[Client 266]")</f>
        <v>Client 266</v>
      </c>
      <c r="C164" s="49" t="str" vm="934">
        <f>CUBEMEMBER("ThisWorkbookDataModel",{"[TPData].[Client].&amp;[Client 266]","[TPData].[Close Month].&amp;[2019-02-01T00:00:00]"})</f>
        <v>2/1/2019</v>
      </c>
      <c r="D164" s="49" t="str">
        <f>INDEX(TPData[Sales Rep],MATCH('Deal Size Analysis'!$B164,TPData[Client],FALSE))</f>
        <v>Rep 16</v>
      </c>
      <c r="E164" s="4" vm="1343">
        <f t="shared" si="8"/>
        <v>2311.1999999999998</v>
      </c>
      <c r="F164" s="4" t="str">
        <f t="shared" si="9"/>
        <v>Small (&lt;5k)</v>
      </c>
    </row>
    <row r="165" spans="2:6" x14ac:dyDescent="0.2">
      <c r="B165" s="49" t="str" vm="848">
        <f>CUBEMEMBER("ThisWorkbookDataModel","[TPData].[Client].&amp;[Client 267]")</f>
        <v>Client 267</v>
      </c>
      <c r="C165" s="49" t="str" vm="601">
        <f>CUBEMEMBER("ThisWorkbookDataModel",{"[TPData].[Client].&amp;[Client 267]","[TPData].[Close Month].&amp;[2019-02-01T00:00:00]"})</f>
        <v>2/1/2019</v>
      </c>
      <c r="D165" s="49" t="str">
        <f>INDEX(TPData[Sales Rep],MATCH('Deal Size Analysis'!$B165,TPData[Client],FALSE))</f>
        <v>Rep 16</v>
      </c>
      <c r="E165" s="4" vm="1191">
        <f t="shared" si="8"/>
        <v>3708</v>
      </c>
      <c r="F165" s="4" t="str">
        <f t="shared" si="9"/>
        <v>Small (&lt;5k)</v>
      </c>
    </row>
    <row r="166" spans="2:6" x14ac:dyDescent="0.2">
      <c r="B166" s="49" t="str" vm="230">
        <f>CUBEMEMBER("ThisWorkbookDataModel","[TPData].[Client].&amp;[Client 268]")</f>
        <v>Client 268</v>
      </c>
      <c r="C166" s="49" t="str" vm="407">
        <f>CUBEMEMBER("ThisWorkbookDataModel",{"[TPData].[Client].&amp;[Client 268]","[TPData].[Close Month].&amp;[2019-02-01T00:00:00]"})</f>
        <v>2/1/2019</v>
      </c>
      <c r="D166" s="49" t="str">
        <f>INDEX(TPData[Sales Rep],MATCH('Deal Size Analysis'!$B166,TPData[Client],FALSE))</f>
        <v>Rep 16</v>
      </c>
      <c r="E166" s="4" vm="1467">
        <f t="shared" si="8"/>
        <v>5529.5999999999995</v>
      </c>
      <c r="F166" s="4" t="str">
        <f t="shared" si="9"/>
        <v>Medium (&lt;10k)</v>
      </c>
    </row>
    <row r="167" spans="2:6" x14ac:dyDescent="0.2">
      <c r="B167" s="49" t="str" vm="761">
        <f>CUBEMEMBER("ThisWorkbookDataModel","[TPData].[Client].&amp;[Client 269]")</f>
        <v>Client 269</v>
      </c>
      <c r="C167" s="49" t="str" vm="1020">
        <f>CUBEMEMBER("ThisWorkbookDataModel",{"[TPData].[Client].&amp;[Client 269]","[TPData].[Close Month].&amp;[2019-02-01T00:00:00]"})</f>
        <v>2/1/2019</v>
      </c>
      <c r="D167" s="49" t="str">
        <f>INDEX(TPData[Sales Rep],MATCH('Deal Size Analysis'!$B167,TPData[Client],FALSE))</f>
        <v>Rep 16</v>
      </c>
      <c r="E167" s="4" vm="1396">
        <f t="shared" si="8"/>
        <v>2376.0475199999996</v>
      </c>
      <c r="F167" s="4" t="str">
        <f t="shared" si="9"/>
        <v>Small (&lt;5k)</v>
      </c>
    </row>
    <row r="168" spans="2:6" x14ac:dyDescent="0.2">
      <c r="B168" s="49" t="str" vm="229">
        <f>CUBEMEMBER("ThisWorkbookDataModel","[TPData].[Client].&amp;[Client 270]")</f>
        <v>Client 270</v>
      </c>
      <c r="C168" s="49" t="str" vm="600">
        <f>CUBEMEMBER("ThisWorkbookDataModel",{"[TPData].[Client].&amp;[Client 270]","[TPData].[Close Month].&amp;[2019-02-01T00:00:00]"})</f>
        <v>2/1/2019</v>
      </c>
      <c r="D168" s="49" t="str">
        <f>INDEX(TPData[Sales Rep],MATCH('Deal Size Analysis'!$B168,TPData[Client],FALSE))</f>
        <v>Rep 16</v>
      </c>
      <c r="E168" s="4" vm="1131">
        <f t="shared" si="8"/>
        <v>6624</v>
      </c>
      <c r="F168" s="4" t="str">
        <f t="shared" si="9"/>
        <v>Medium (&lt;10k)</v>
      </c>
    </row>
    <row r="169" spans="2:6" x14ac:dyDescent="0.2">
      <c r="B169" s="49" t="str" vm="406">
        <f>CUBEMEMBER("ThisWorkbookDataModel","[TPData].[Client].&amp;[Client 271]")</f>
        <v>Client 271</v>
      </c>
      <c r="C169" s="49" t="str" vm="933">
        <f>CUBEMEMBER("ThisWorkbookDataModel",{"[TPData].[Client].&amp;[Client 271]","[TPData].[Close Month].&amp;[2019-02-01T00:00:00]"})</f>
        <v>2/1/2019</v>
      </c>
      <c r="D169" s="49" t="str">
        <f>INDEX(TPData[Sales Rep],MATCH('Deal Size Analysis'!$B169,TPData[Client],FALSE))</f>
        <v>Rep 16</v>
      </c>
      <c r="E169" s="4" vm="1342">
        <f t="shared" si="8"/>
        <v>6609.6</v>
      </c>
      <c r="F169" s="4" t="str">
        <f t="shared" si="9"/>
        <v>Medium (&lt;10k)</v>
      </c>
    </row>
    <row r="170" spans="2:6" x14ac:dyDescent="0.2">
      <c r="B170" s="49" t="str" vm="228">
        <f>CUBEMEMBER("ThisWorkbookDataModel","[TPData].[Client].&amp;[Client 272]")</f>
        <v>Client 272</v>
      </c>
      <c r="C170" s="49" t="str" vm="847">
        <f>CUBEMEMBER("ThisWorkbookDataModel",{"[TPData].[Client].&amp;[Client 272]","[TPData].[Close Month].&amp;[2019-03-01T00:00:00]"})</f>
        <v>3/1/2019</v>
      </c>
      <c r="D170" s="49" t="str">
        <f>INDEX(TPData[Sales Rep],MATCH('Deal Size Analysis'!$B170,TPData[Client],FALSE))</f>
        <v>Rep 16</v>
      </c>
      <c r="E170" s="4" vm="1276">
        <f t="shared" si="8"/>
        <v>3175.2000000000003</v>
      </c>
      <c r="F170" s="4" t="str">
        <f t="shared" si="9"/>
        <v>Small (&lt;5k)</v>
      </c>
    </row>
    <row r="171" spans="2:6" x14ac:dyDescent="0.2">
      <c r="B171" s="49" t="str" vm="599">
        <f>CUBEMEMBER("ThisWorkbookDataModel","[TPData].[Client].&amp;[Client 273]")</f>
        <v>Client 273</v>
      </c>
      <c r="C171" s="49" t="str" vm="405">
        <f>CUBEMEMBER("ThisWorkbookDataModel",{"[TPData].[Client].&amp;[Client 273]","[TPData].[Close Month].&amp;[2019-03-01T00:00:00]"})</f>
        <v>3/1/2019</v>
      </c>
      <c r="D171" s="49" t="str">
        <f>INDEX(TPData[Sales Rep],MATCH('Deal Size Analysis'!$B171,TPData[Client],FALSE))</f>
        <v>Rep 16</v>
      </c>
      <c r="E171" s="4" vm="1468">
        <f t="shared" si="8"/>
        <v>6277.4999999999991</v>
      </c>
      <c r="F171" s="4" t="str">
        <f t="shared" si="9"/>
        <v>Medium (&lt;10k)</v>
      </c>
    </row>
    <row r="172" spans="2:6" x14ac:dyDescent="0.2">
      <c r="B172" s="49" t="str" vm="227">
        <f>CUBEMEMBER("ThisWorkbookDataModel","[TPData].[Client].&amp;[Client 274]")</f>
        <v>Client 274</v>
      </c>
      <c r="C172" s="49" t="str" vm="760">
        <f>CUBEMEMBER("ThisWorkbookDataModel",{"[TPData].[Client].&amp;[Client 274]","[TPData].[Close Month].&amp;[2019-03-01T00:00:00]"})</f>
        <v>3/1/2019</v>
      </c>
      <c r="D172" s="49" t="str">
        <f>INDEX(TPData[Sales Rep],MATCH('Deal Size Analysis'!$B172,TPData[Client],FALSE))</f>
        <v>Rep 16</v>
      </c>
      <c r="E172" s="4" vm="1225">
        <f t="shared" si="8"/>
        <v>6415.2</v>
      </c>
      <c r="F172" s="4" t="str">
        <f t="shared" si="9"/>
        <v>Medium (&lt;10k)</v>
      </c>
    </row>
    <row r="173" spans="2:6" x14ac:dyDescent="0.2">
      <c r="B173" s="49" t="str" vm="1019">
        <f>CUBEMEMBER("ThisWorkbookDataModel","[TPData].[Client].&amp;[Client 275]")</f>
        <v>Client 275</v>
      </c>
      <c r="C173" s="49" t="str" vm="598">
        <f>CUBEMEMBER("ThisWorkbookDataModel",{"[TPData].[Client].&amp;[Client 275]","[TPData].[Close Month].&amp;[2019-03-01T00:00:00]"})</f>
        <v>3/1/2019</v>
      </c>
      <c r="D173" s="49" t="str">
        <f>INDEX(TPData[Sales Rep],MATCH('Deal Size Analysis'!$B173,TPData[Client],FALSE))</f>
        <v>Rep 16</v>
      </c>
      <c r="E173" s="4" vm="1130">
        <f t="shared" si="8"/>
        <v>4519.8</v>
      </c>
      <c r="F173" s="4" t="str">
        <f t="shared" si="9"/>
        <v>Small (&lt;5k)</v>
      </c>
    </row>
    <row r="174" spans="2:6" x14ac:dyDescent="0.2">
      <c r="B174" s="49" t="str" vm="226">
        <f>CUBEMEMBER("ThisWorkbookDataModel","[TPData].[Client].&amp;[Client 276]")</f>
        <v>Client 276</v>
      </c>
      <c r="C174" s="49" t="str" vm="404">
        <f>CUBEMEMBER("ThisWorkbookDataModel",{"[TPData].[Client].&amp;[Client 276]","[TPData].[Close Month].&amp;[2019-03-01T00:00:00]"})</f>
        <v>3/1/2019</v>
      </c>
      <c r="D174" s="49" t="str">
        <f>INDEX(TPData[Sales Rep],MATCH('Deal Size Analysis'!$B174,TPData[Client],FALSE))</f>
        <v>Rep 16</v>
      </c>
      <c r="E174" s="4" vm="1469">
        <f t="shared" si="8"/>
        <v>2484</v>
      </c>
      <c r="F174" s="4" t="str">
        <f t="shared" si="9"/>
        <v>Small (&lt;5k)</v>
      </c>
    </row>
    <row r="175" spans="2:6" x14ac:dyDescent="0.2">
      <c r="B175" s="49" t="str" vm="932">
        <f>CUBEMEMBER("ThisWorkbookDataModel","[TPData].[Client].&amp;[Client 277]")</f>
        <v>Client 277</v>
      </c>
      <c r="C175" s="49" t="str" vm="846">
        <f>CUBEMEMBER("ThisWorkbookDataModel",{"[TPData].[Client].&amp;[Client 277]","[TPData].[Close Month].&amp;[2019-04-01T00:00:00]"})</f>
        <v>4/1/2019</v>
      </c>
      <c r="D175" s="49" t="str">
        <f>INDEX(TPData[Sales Rep],MATCH('Deal Size Analysis'!$B175,TPData[Client],FALSE))</f>
        <v>Rep 16</v>
      </c>
      <c r="E175" s="4" vm="1275">
        <f t="shared" si="8"/>
        <v>7776</v>
      </c>
      <c r="F175" s="4" t="str">
        <f t="shared" si="9"/>
        <v>Medium (&lt;10k)</v>
      </c>
    </row>
    <row r="176" spans="2:6" x14ac:dyDescent="0.2">
      <c r="B176" s="49" t="str" vm="225">
        <f>CUBEMEMBER("ThisWorkbookDataModel","[TPData].[Client].&amp;[Client 278]")</f>
        <v>Client 278</v>
      </c>
      <c r="C176" s="49" t="str" vm="597">
        <f>CUBEMEMBER("ThisWorkbookDataModel",{"[TPData].[Client].&amp;[Client 278]","[TPData].[Close Month].&amp;[2019-04-01T00:00:00]"})</f>
        <v>4/1/2019</v>
      </c>
      <c r="D176" s="49" t="str">
        <f>INDEX(TPData[Sales Rep],MATCH('Deal Size Analysis'!$B176,TPData[Client],FALSE))</f>
        <v>Rep 16</v>
      </c>
      <c r="E176" s="4" vm="1129">
        <f t="shared" si="8"/>
        <v>3207.6</v>
      </c>
      <c r="F176" s="4" t="str">
        <f t="shared" si="9"/>
        <v>Small (&lt;5k)</v>
      </c>
    </row>
    <row r="177" spans="2:6" x14ac:dyDescent="0.2">
      <c r="B177" s="49" t="str" vm="403">
        <f>CUBEMEMBER("ThisWorkbookDataModel","[TPData].[Client].&amp;[Client 279]")</f>
        <v>Client 279</v>
      </c>
      <c r="C177" s="49" t="str" vm="759">
        <f>CUBEMEMBER("ThisWorkbookDataModel",{"[TPData].[Client].&amp;[Client 279]","[TPData].[Close Month].&amp;[2019-04-01T00:00:00]"})</f>
        <v>4/1/2019</v>
      </c>
      <c r="D177" s="49" t="str">
        <f>INDEX(TPData[Sales Rep],MATCH('Deal Size Analysis'!$B177,TPData[Client],FALSE))</f>
        <v>Rep 16</v>
      </c>
      <c r="E177" s="4" vm="1224">
        <f t="shared" si="8"/>
        <v>5724</v>
      </c>
      <c r="F177" s="4" t="str">
        <f t="shared" si="9"/>
        <v>Medium (&lt;10k)</v>
      </c>
    </row>
    <row r="178" spans="2:6" x14ac:dyDescent="0.2">
      <c r="B178" s="49" t="str" vm="224">
        <f>CUBEMEMBER("ThisWorkbookDataModel","[TPData].[Client].&amp;[Client 280]")</f>
        <v>Client 280</v>
      </c>
      <c r="C178" s="49" t="str" vm="1018">
        <f>CUBEMEMBER("ThisWorkbookDataModel",{"[TPData].[Client].&amp;[Client 280]","[TPData].[Close Month].&amp;[2019-04-01T00:00:00]"})</f>
        <v>4/1/2019</v>
      </c>
      <c r="D178" s="49" t="str">
        <f>INDEX(TPData[Sales Rep],MATCH('Deal Size Analysis'!$B178,TPData[Client],FALSE))</f>
        <v>Rep 16</v>
      </c>
      <c r="E178" s="4" vm="1395">
        <f t="shared" si="8"/>
        <v>4233.6000000000004</v>
      </c>
      <c r="F178" s="4" t="str">
        <f t="shared" si="9"/>
        <v>Small (&lt;5k)</v>
      </c>
    </row>
    <row r="179" spans="2:6" x14ac:dyDescent="0.2">
      <c r="B179" s="49" t="str" vm="596">
        <f>CUBEMEMBER("ThisWorkbookDataModel","[TPData].[Client].&amp;[Client 281]")</f>
        <v>Client 281</v>
      </c>
      <c r="C179" s="49" t="str" vm="402">
        <f>CUBEMEMBER("ThisWorkbookDataModel",{"[TPData].[Client].&amp;[Client 281]","[TPData].[Close Month].&amp;[2019-04-01T00:00:00]"})</f>
        <v>4/1/2019</v>
      </c>
      <c r="D179" s="49" t="str">
        <f>INDEX(TPData[Sales Rep],MATCH('Deal Size Analysis'!$B179,TPData[Client],FALSE))</f>
        <v>Rep 16</v>
      </c>
      <c r="E179" s="4" vm="1470">
        <f t="shared" si="8"/>
        <v>4665.6000000000004</v>
      </c>
      <c r="F179" s="4" t="str">
        <f t="shared" si="9"/>
        <v>Small (&lt;5k)</v>
      </c>
    </row>
    <row r="180" spans="2:6" x14ac:dyDescent="0.2">
      <c r="B180" s="49" t="str" vm="223">
        <f>CUBEMEMBER("ThisWorkbookDataModel","[TPData].[Client].&amp;[Client 282]")</f>
        <v>Client 282</v>
      </c>
      <c r="C180" s="49" t="str" vm="931">
        <f>CUBEMEMBER("ThisWorkbookDataModel",{"[TPData].[Client].&amp;[Client 282]","[TPData].[Close Month].&amp;[2019-04-01T00:00:00]"})</f>
        <v>4/1/2019</v>
      </c>
      <c r="D180" s="49" t="str">
        <f>INDEX(TPData[Sales Rep],MATCH('Deal Size Analysis'!$B180,TPData[Client],FALSE))</f>
        <v>Rep 16</v>
      </c>
      <c r="E180" s="4" vm="1341">
        <f t="shared" si="8"/>
        <v>1944</v>
      </c>
      <c r="F180" s="4" t="str">
        <f t="shared" si="9"/>
        <v>Small (&lt;5k)</v>
      </c>
    </row>
    <row r="181" spans="2:6" x14ac:dyDescent="0.2">
      <c r="B181" s="49" t="str" vm="845">
        <f>CUBEMEMBER("ThisWorkbookDataModel","[TPData].[Client].&amp;[Client 283]")</f>
        <v>Client 283</v>
      </c>
      <c r="C181" s="49" t="str" vm="595">
        <f>CUBEMEMBER("ThisWorkbookDataModel",{"[TPData].[Client].&amp;[Client 283]","[TPData].[Close Month].&amp;[2019-04-01T00:00:00]"})</f>
        <v>4/1/2019</v>
      </c>
      <c r="D181" s="49" t="str">
        <f>INDEX(TPData[Sales Rep],MATCH('Deal Size Analysis'!$B181,TPData[Client],FALSE))</f>
        <v>Rep 16</v>
      </c>
      <c r="E181" s="4" vm="1128">
        <f t="shared" si="8"/>
        <v>5961.6</v>
      </c>
      <c r="F181" s="4" t="str">
        <f t="shared" si="9"/>
        <v>Medium (&lt;10k)</v>
      </c>
    </row>
    <row r="182" spans="2:6" x14ac:dyDescent="0.2">
      <c r="B182" s="49" t="str" vm="222">
        <f>CUBEMEMBER("ThisWorkbookDataModel","[TPData].[Client].&amp;[Client 284]")</f>
        <v>Client 284</v>
      </c>
      <c r="C182" s="49" t="str" vm="401">
        <f>CUBEMEMBER("ThisWorkbookDataModel",{"[TPData].[Client].&amp;[Client 284]","[TPData].[Close Month].&amp;[2019-04-01T00:00:00]"})</f>
        <v>4/1/2019</v>
      </c>
      <c r="D182" s="49" t="str">
        <f>INDEX(TPData[Sales Rep],MATCH('Deal Size Analysis'!$B182,TPData[Client],FALSE))</f>
        <v>Rep 16</v>
      </c>
      <c r="E182" s="4" vm="1471">
        <f t="shared" si="8"/>
        <v>5346</v>
      </c>
      <c r="F182" s="4" t="str">
        <f t="shared" si="9"/>
        <v>Medium (&lt;10k)</v>
      </c>
    </row>
    <row r="183" spans="2:6" x14ac:dyDescent="0.2">
      <c r="B183" s="49" t="str" vm="758">
        <f>CUBEMEMBER("ThisWorkbookDataModel","[TPData].[Client].&amp;[Client 285]")</f>
        <v>Client 285</v>
      </c>
      <c r="C183" s="49" t="str" vm="1017">
        <f>CUBEMEMBER("ThisWorkbookDataModel",{"[TPData].[Client].&amp;[Client 285]","[TPData].[Close Month].&amp;[2019-05-01T00:00:00]"})</f>
        <v>5/1/2019</v>
      </c>
      <c r="D183" s="49" t="str">
        <f>INDEX(TPData[Sales Rep],MATCH('Deal Size Analysis'!$B183,TPData[Client],FALSE))</f>
        <v>Rep 16</v>
      </c>
      <c r="E183" s="4" vm="1394">
        <f t="shared" si="8"/>
        <v>9936</v>
      </c>
      <c r="F183" s="4" t="str">
        <f t="shared" si="9"/>
        <v>Medium (&lt;10k)</v>
      </c>
    </row>
    <row r="184" spans="2:6" x14ac:dyDescent="0.2">
      <c r="B184" s="49" t="str" vm="221">
        <f>CUBEMEMBER("ThisWorkbookDataModel","[TPData].[Client].&amp;[Client 286]")</f>
        <v>Client 286</v>
      </c>
      <c r="C184" s="49" t="str" vm="594">
        <f>CUBEMEMBER("ThisWorkbookDataModel",{"[TPData].[Client].&amp;[Client 286]","[TPData].[Close Month].&amp;[2019-05-01T00:00:00]"})</f>
        <v>5/1/2019</v>
      </c>
      <c r="D184" s="49" t="str">
        <f>INDEX(TPData[Sales Rep],MATCH('Deal Size Analysis'!$B184,TPData[Client],FALSE))</f>
        <v>Rep 16</v>
      </c>
      <c r="E184" s="4" vm="1127">
        <f t="shared" si="8"/>
        <v>2781</v>
      </c>
      <c r="F184" s="4" t="str">
        <f t="shared" si="9"/>
        <v>Small (&lt;5k)</v>
      </c>
    </row>
    <row r="185" spans="2:6" x14ac:dyDescent="0.2">
      <c r="B185" s="49" t="str" vm="400">
        <f>CUBEMEMBER("ThisWorkbookDataModel","[TPData].[Client].&amp;[Client 287]")</f>
        <v>Client 287</v>
      </c>
      <c r="C185" s="49" t="str" vm="930">
        <f>CUBEMEMBER("ThisWorkbookDataModel",{"[TPData].[Client].&amp;[Client 287]","[TPData].[Close Month].&amp;[2019-06-01T00:00:00]"})</f>
        <v>6/1/2019</v>
      </c>
      <c r="D185" s="49" t="str">
        <f>INDEX(TPData[Sales Rep],MATCH('Deal Size Analysis'!$B185,TPData[Client],FALSE))</f>
        <v>Rep 16</v>
      </c>
      <c r="E185" s="4" vm="1340">
        <f t="shared" si="8"/>
        <v>5184</v>
      </c>
      <c r="F185" s="4" t="str">
        <f t="shared" si="9"/>
        <v>Medium (&lt;10k)</v>
      </c>
    </row>
    <row r="186" spans="2:6" x14ac:dyDescent="0.2">
      <c r="B186" s="49" t="str" vm="220">
        <f>CUBEMEMBER("ThisWorkbookDataModel","[TPData].[Client].&amp;[Client 288]")</f>
        <v>Client 288</v>
      </c>
      <c r="C186" s="49" t="str" vm="844">
        <f>CUBEMEMBER("ThisWorkbookDataModel",{"[TPData].[Client].&amp;[Client 288]","[TPData].[Close Month].&amp;[2019-06-01T00:00:00]"})</f>
        <v>6/1/2019</v>
      </c>
      <c r="D186" s="49" t="str">
        <f>INDEX(TPData[Sales Rep],MATCH('Deal Size Analysis'!$B186,TPData[Client],FALSE))</f>
        <v>Rep 16</v>
      </c>
      <c r="E186" s="4" vm="1274">
        <f t="shared" si="8"/>
        <v>12117.6</v>
      </c>
      <c r="F186" s="4" t="str">
        <f t="shared" si="9"/>
        <v>Large (&lt;20k)</v>
      </c>
    </row>
    <row r="187" spans="2:6" x14ac:dyDescent="0.2">
      <c r="B187" s="49" t="str" vm="593">
        <f>CUBEMEMBER("ThisWorkbookDataModel","[TPData].[Client].&amp;[Client 289]")</f>
        <v>Client 289</v>
      </c>
      <c r="C187" s="49" t="str" vm="399">
        <f>CUBEMEMBER("ThisWorkbookDataModel",{"[TPData].[Client].&amp;[Client 289]","[TPData].[Close Month].&amp;[2018-07-01T00:00:00]"})</f>
        <v>7/1/2018</v>
      </c>
      <c r="D187" s="49" t="str">
        <f>INDEX(TPData[Sales Rep],MATCH('Deal Size Analysis'!$B187,TPData[Client],FALSE))</f>
        <v>Rep 20</v>
      </c>
      <c r="E187" s="4" vm="1472">
        <f t="shared" si="8"/>
        <v>1248</v>
      </c>
      <c r="F187" s="4" t="str">
        <f t="shared" si="9"/>
        <v>Small (&lt;5k)</v>
      </c>
    </row>
    <row r="188" spans="2:6" x14ac:dyDescent="0.2">
      <c r="B188" s="49" t="str" vm="219">
        <f>CUBEMEMBER("ThisWorkbookDataModel","[TPData].[Client].&amp;[Client 290]")</f>
        <v>Client 290</v>
      </c>
      <c r="C188" s="49" t="str" vm="757">
        <f>CUBEMEMBER("ThisWorkbookDataModel",{"[TPData].[Client].&amp;[Client 290]","[TPData].[Close Month].&amp;[2018-07-01T00:00:00]"})</f>
        <v>7/1/2018</v>
      </c>
      <c r="D188" s="49" t="str">
        <f>INDEX(TPData[Sales Rep],MATCH('Deal Size Analysis'!$B188,TPData[Client],FALSE))</f>
        <v>Rep 20</v>
      </c>
      <c r="E188" s="4" vm="1359">
        <f t="shared" si="8"/>
        <v>6670.8</v>
      </c>
      <c r="F188" s="4" t="str">
        <f t="shared" si="9"/>
        <v>Medium (&lt;10k)</v>
      </c>
    </row>
    <row r="189" spans="2:6" x14ac:dyDescent="0.2">
      <c r="B189" s="49" t="str" vm="1016">
        <f>CUBEMEMBER("ThisWorkbookDataModel","[TPData].[Client].&amp;[Client 291]")</f>
        <v>Client 291</v>
      </c>
      <c r="C189" s="49" t="str" vm="592">
        <f>CUBEMEMBER("ThisWorkbookDataModel",{"[TPData].[Client].&amp;[Client 291]","[TPData].[Close Month].&amp;[2018-07-01T00:00:00]"})</f>
        <v>7/1/2018</v>
      </c>
      <c r="D189" s="49" t="str">
        <f>INDEX(TPData[Sales Rep],MATCH('Deal Size Analysis'!$B189,TPData[Client],FALSE))</f>
        <v>Rep 20</v>
      </c>
      <c r="E189" s="4" vm="1126">
        <f t="shared" si="8"/>
        <v>1638</v>
      </c>
      <c r="F189" s="4" t="str">
        <f t="shared" si="9"/>
        <v>Small (&lt;5k)</v>
      </c>
    </row>
    <row r="190" spans="2:6" x14ac:dyDescent="0.2">
      <c r="B190" s="49" t="str" vm="218">
        <f>CUBEMEMBER("ThisWorkbookDataModel","[TPData].[Client].&amp;[Client 292]")</f>
        <v>Client 292</v>
      </c>
      <c r="C190" s="49" t="str" vm="398">
        <f>CUBEMEMBER("ThisWorkbookDataModel",{"[TPData].[Client].&amp;[Client 292]","[TPData].[Close Month].&amp;[2018-08-01T00:00:00]"})</f>
        <v>8/1/2018</v>
      </c>
      <c r="D190" s="49" t="str">
        <f>INDEX(TPData[Sales Rep],MATCH('Deal Size Analysis'!$B190,TPData[Client],FALSE))</f>
        <v>Rep 20</v>
      </c>
      <c r="E190" s="4" vm="1473">
        <f t="shared" si="8"/>
        <v>4838.3999999999996</v>
      </c>
      <c r="F190" s="4" t="str">
        <f t="shared" si="9"/>
        <v>Small (&lt;5k)</v>
      </c>
    </row>
    <row r="191" spans="2:6" x14ac:dyDescent="0.2">
      <c r="B191" s="49" t="str" vm="929">
        <f>CUBEMEMBER("ThisWorkbookDataModel","[TPData].[Client].&amp;[Client 293]")</f>
        <v>Client 293</v>
      </c>
      <c r="C191" s="49" t="str" vm="843">
        <f>CUBEMEMBER("ThisWorkbookDataModel",{"[TPData].[Client].&amp;[Client 293]","[TPData].[Close Month].&amp;[2018-08-01T00:00:00]"})</f>
        <v>8/1/2018</v>
      </c>
      <c r="D191" s="49" t="str">
        <f>INDEX(TPData[Sales Rep],MATCH('Deal Size Analysis'!$B191,TPData[Client],FALSE))</f>
        <v>Rep 20</v>
      </c>
      <c r="E191" s="4" vm="1273">
        <f t="shared" si="8"/>
        <v>3030</v>
      </c>
      <c r="F191" s="4" t="str">
        <f t="shared" si="9"/>
        <v>Small (&lt;5k)</v>
      </c>
    </row>
    <row r="192" spans="2:6" x14ac:dyDescent="0.2">
      <c r="B192" s="49" t="str" vm="217">
        <f>CUBEMEMBER("ThisWorkbookDataModel","[TPData].[Client].&amp;[Client 294]")</f>
        <v>Client 294</v>
      </c>
      <c r="C192" s="49" t="str" vm="591">
        <f>CUBEMEMBER("ThisWorkbookDataModel",{"[TPData].[Client].&amp;[Client 294]","[TPData].[Close Month].&amp;[2018-08-01T00:00:00]"})</f>
        <v>8/1/2018</v>
      </c>
      <c r="D192" s="49" t="str">
        <f>INDEX(TPData[Sales Rep],MATCH('Deal Size Analysis'!$B192,TPData[Client],FALSE))</f>
        <v>Rep 20</v>
      </c>
      <c r="E192" s="4" vm="1125">
        <f t="shared" si="8"/>
        <v>1458</v>
      </c>
      <c r="F192" s="4" t="str">
        <f t="shared" si="9"/>
        <v>Small (&lt;5k)</v>
      </c>
    </row>
    <row r="193" spans="2:6" x14ac:dyDescent="0.2">
      <c r="B193" s="49" t="str" vm="397">
        <f>CUBEMEMBER("ThisWorkbookDataModel","[TPData].[Client].&amp;[Client 295]")</f>
        <v>Client 295</v>
      </c>
      <c r="C193" s="49" t="str" vm="756">
        <f>CUBEMEMBER("ThisWorkbookDataModel",{"[TPData].[Client].&amp;[Client 295]","[TPData].[Close Month].&amp;[2018-08-01T00:00:00]"})</f>
        <v>8/1/2018</v>
      </c>
      <c r="D193" s="49" t="str">
        <f>INDEX(TPData[Sales Rep],MATCH('Deal Size Analysis'!$B193,TPData[Client],FALSE))</f>
        <v>Rep 20</v>
      </c>
      <c r="E193" s="4" vm="1223">
        <f t="shared" si="8"/>
        <v>7000.08</v>
      </c>
      <c r="F193" s="4" t="str">
        <f t="shared" si="9"/>
        <v>Medium (&lt;10k)</v>
      </c>
    </row>
    <row r="194" spans="2:6" x14ac:dyDescent="0.2">
      <c r="B194" s="49" t="str" vm="216">
        <f>CUBEMEMBER("ThisWorkbookDataModel","[TPData].[Client].&amp;[Client 296]")</f>
        <v>Client 296</v>
      </c>
      <c r="C194" s="49" t="str" vm="1015">
        <f>CUBEMEMBER("ThisWorkbookDataModel",{"[TPData].[Client].&amp;[Client 296]","[TPData].[Close Month].&amp;[2018-08-01T00:00:00]"})</f>
        <v>8/1/2018</v>
      </c>
      <c r="D194" s="49" t="str">
        <f>INDEX(TPData[Sales Rep],MATCH('Deal Size Analysis'!$B194,TPData[Client],FALSE))</f>
        <v>Rep 20</v>
      </c>
      <c r="E194" s="4" vm="1393">
        <f t="shared" si="8"/>
        <v>2921.52</v>
      </c>
      <c r="F194" s="4" t="str">
        <f t="shared" si="9"/>
        <v>Small (&lt;5k)</v>
      </c>
    </row>
    <row r="195" spans="2:6" x14ac:dyDescent="0.2">
      <c r="B195" s="49" t="str" vm="590">
        <f>CUBEMEMBER("ThisWorkbookDataModel","[TPData].[Client].&amp;[Client 297]")</f>
        <v>Client 297</v>
      </c>
      <c r="C195" s="49" t="str" vm="396">
        <f>CUBEMEMBER("ThisWorkbookDataModel",{"[TPData].[Client].&amp;[Client 297]","[TPData].[Close Month].&amp;[2018-09-01T00:00:00]"})</f>
        <v>9/1/2018</v>
      </c>
      <c r="D195" s="49" t="str">
        <f>INDEX(TPData[Sales Rep],MATCH('Deal Size Analysis'!$B195,TPData[Client],FALSE))</f>
        <v>Rep 20</v>
      </c>
      <c r="E195" s="4" vm="1474">
        <f t="shared" si="8"/>
        <v>1952.9999999999998</v>
      </c>
      <c r="F195" s="4" t="str">
        <f t="shared" si="9"/>
        <v>Small (&lt;5k)</v>
      </c>
    </row>
    <row r="196" spans="2:6" x14ac:dyDescent="0.2">
      <c r="B196" s="49" t="str" vm="215">
        <f>CUBEMEMBER("ThisWorkbookDataModel","[TPData].[Client].&amp;[Client 298]")</f>
        <v>Client 298</v>
      </c>
      <c r="C196" s="49" t="str" vm="928">
        <f>CUBEMEMBER("ThisWorkbookDataModel",{"[TPData].[Client].&amp;[Client 298]","[TPData].[Close Month].&amp;[2018-10-01T00:00:00]"})</f>
        <v>10/1/2018</v>
      </c>
      <c r="D196" s="49" t="str">
        <f>INDEX(TPData[Sales Rep],MATCH('Deal Size Analysis'!$B196,TPData[Client],FALSE))</f>
        <v>Rep 20</v>
      </c>
      <c r="E196" s="4" vm="1339">
        <f t="shared" si="8"/>
        <v>7128</v>
      </c>
      <c r="F196" s="4" t="str">
        <f t="shared" si="9"/>
        <v>Medium (&lt;10k)</v>
      </c>
    </row>
    <row r="197" spans="2:6" x14ac:dyDescent="0.2">
      <c r="B197" s="49" t="str" vm="842">
        <f>CUBEMEMBER("ThisWorkbookDataModel","[TPData].[Client].&amp;[Client 299]")</f>
        <v>Client 299</v>
      </c>
      <c r="C197" s="49" t="str" vm="589">
        <f>CUBEMEMBER("ThisWorkbookDataModel",{"[TPData].[Client].&amp;[Client 299]","[TPData].[Close Month].&amp;[2018-10-01T00:00:00]"})</f>
        <v>10/1/2018</v>
      </c>
      <c r="D197" s="49" t="str">
        <f>INDEX(TPData[Sales Rep],MATCH('Deal Size Analysis'!$B197,TPData[Client],FALSE))</f>
        <v>Rep 20</v>
      </c>
      <c r="E197" s="4" vm="1124">
        <f t="shared" ref="E197:E260" si="10">CUBEVALUE("ThisWorkbookDataModel",$C197,E$4)</f>
        <v>3120</v>
      </c>
      <c r="F197" s="4" t="str">
        <f t="shared" si="9"/>
        <v>Small (&lt;5k)</v>
      </c>
    </row>
    <row r="198" spans="2:6" x14ac:dyDescent="0.2">
      <c r="B198" s="49" t="str" vm="214">
        <f>CUBEMEMBER("ThisWorkbookDataModel","[TPData].[Client].&amp;[Client 300]")</f>
        <v>Client 300</v>
      </c>
      <c r="C198" s="49" t="str" vm="395">
        <f>CUBEMEMBER("ThisWorkbookDataModel",{"[TPData].[Client].&amp;[Client 300]","[TPData].[Close Month].&amp;[2018-10-01T00:00:00]"})</f>
        <v>10/1/2018</v>
      </c>
      <c r="D198" s="49" t="str">
        <f>INDEX(TPData[Sales Rep],MATCH('Deal Size Analysis'!$B198,TPData[Client],FALSE))</f>
        <v>Rep 20</v>
      </c>
      <c r="E198" s="4" vm="1475">
        <f t="shared" si="10"/>
        <v>6732.0000000000009</v>
      </c>
      <c r="F198" s="4" t="str">
        <f t="shared" ref="F198:F261" si="11">IF(E198&lt;=5000,$H$9,IF((E198&lt;10000),$H$10,IF((E198&lt;20000),$H$11,IF((E198&gt;=20000),$H$12))))</f>
        <v>Medium (&lt;10k)</v>
      </c>
    </row>
    <row r="199" spans="2:6" x14ac:dyDescent="0.2">
      <c r="B199" s="49" t="str" vm="755">
        <f>CUBEMEMBER("ThisWorkbookDataModel","[TPData].[Client].&amp;[Client 301]")</f>
        <v>Client 301</v>
      </c>
      <c r="C199" s="49" t="str" vm="1014">
        <f>CUBEMEMBER("ThisWorkbookDataModel",{"[TPData].[Client].&amp;[Client 301]","[TPData].[Close Month].&amp;[2018-10-01T00:00:00]"})</f>
        <v>10/1/2018</v>
      </c>
      <c r="D199" s="49" t="str">
        <f>INDEX(TPData[Sales Rep],MATCH('Deal Size Analysis'!$B199,TPData[Client],FALSE))</f>
        <v>Rep 20</v>
      </c>
      <c r="E199" s="4" vm="1392">
        <f t="shared" si="10"/>
        <v>3240</v>
      </c>
      <c r="F199" s="4" t="str">
        <f t="shared" si="11"/>
        <v>Small (&lt;5k)</v>
      </c>
    </row>
    <row r="200" spans="2:6" x14ac:dyDescent="0.2">
      <c r="B200" s="49" t="str" vm="213">
        <f>CUBEMEMBER("ThisWorkbookDataModel","[TPData].[Client].&amp;[Client 302]")</f>
        <v>Client 302</v>
      </c>
      <c r="C200" s="49" t="str" vm="588">
        <f>CUBEMEMBER("ThisWorkbookDataModel",{"[TPData].[Client].&amp;[Client 302]","[TPData].[Close Month].&amp;[2018-11-01T00:00:00]"})</f>
        <v>11/1/2018</v>
      </c>
      <c r="D200" s="49" t="str">
        <f>INDEX(TPData[Sales Rep],MATCH('Deal Size Analysis'!$B200,TPData[Client],FALSE))</f>
        <v>Rep 20</v>
      </c>
      <c r="E200" s="4" vm="1123">
        <f t="shared" si="10"/>
        <v>3300.0000000000005</v>
      </c>
      <c r="F200" s="4" t="str">
        <f t="shared" si="11"/>
        <v>Small (&lt;5k)</v>
      </c>
    </row>
    <row r="201" spans="2:6" x14ac:dyDescent="0.2">
      <c r="B201" s="49" t="str" vm="394">
        <f>CUBEMEMBER("ThisWorkbookDataModel","[TPData].[Client].&amp;[Client 303]")</f>
        <v>Client 303</v>
      </c>
      <c r="C201" s="49" t="str" vm="927">
        <f>CUBEMEMBER("ThisWorkbookDataModel",{"[TPData].[Client].&amp;[Client 303]","[TPData].[Close Month].&amp;[2018-11-01T00:00:00]"})</f>
        <v>11/1/2018</v>
      </c>
      <c r="D201" s="49" t="str">
        <f>INDEX(TPData[Sales Rep],MATCH('Deal Size Analysis'!$B201,TPData[Client],FALSE))</f>
        <v>Rep 20</v>
      </c>
      <c r="E201" s="4" vm="1338">
        <f t="shared" si="10"/>
        <v>11157.3</v>
      </c>
      <c r="F201" s="4" t="str">
        <f t="shared" si="11"/>
        <v>Large (&lt;20k)</v>
      </c>
    </row>
    <row r="202" spans="2:6" x14ac:dyDescent="0.2">
      <c r="B202" s="49" t="str" vm="212">
        <f>CUBEMEMBER("ThisWorkbookDataModel","[TPData].[Client].&amp;[Client 304]")</f>
        <v>Client 304</v>
      </c>
      <c r="C202" s="49" t="str" vm="841">
        <f>CUBEMEMBER("ThisWorkbookDataModel",{"[TPData].[Client].&amp;[Client 304]","[TPData].[Close Month].&amp;[2018-11-01T00:00:00]"})</f>
        <v>11/1/2018</v>
      </c>
      <c r="D202" s="49" t="str">
        <f>INDEX(TPData[Sales Rep],MATCH('Deal Size Analysis'!$B202,TPData[Client],FALSE))</f>
        <v>Rep 20</v>
      </c>
      <c r="E202" s="4" vm="1272">
        <f t="shared" si="10"/>
        <v>13992</v>
      </c>
      <c r="F202" s="4" t="str">
        <f t="shared" si="11"/>
        <v>Large (&lt;20k)</v>
      </c>
    </row>
    <row r="203" spans="2:6" x14ac:dyDescent="0.2">
      <c r="B203" s="49" t="str" vm="587">
        <f>CUBEMEMBER("ThisWorkbookDataModel","[TPData].[Client].&amp;[Client 305]")</f>
        <v>Client 305</v>
      </c>
      <c r="C203" s="49" t="str" vm="393">
        <f>CUBEMEMBER("ThisWorkbookDataModel",{"[TPData].[Client].&amp;[Client 305]","[TPData].[Close Month].&amp;[2018-11-01T00:00:00]"})</f>
        <v>11/1/2018</v>
      </c>
      <c r="D203" s="49" t="str">
        <f>INDEX(TPData[Sales Rep],MATCH('Deal Size Analysis'!$B203,TPData[Client],FALSE))</f>
        <v>Rep 20</v>
      </c>
      <c r="E203" s="4" vm="1476">
        <f t="shared" si="10"/>
        <v>4200.0839999999998</v>
      </c>
      <c r="F203" s="4" t="str">
        <f t="shared" si="11"/>
        <v>Small (&lt;5k)</v>
      </c>
    </row>
    <row r="204" spans="2:6" x14ac:dyDescent="0.2">
      <c r="B204" s="49" t="str" vm="211">
        <f>CUBEMEMBER("ThisWorkbookDataModel","[TPData].[Client].&amp;[Client 306]")</f>
        <v>Client 306</v>
      </c>
      <c r="C204" s="49" t="str" vm="754">
        <f>CUBEMEMBER("ThisWorkbookDataModel",{"[TPData].[Client].&amp;[Client 306]","[TPData].[Close Month].&amp;[2018-12-01T00:00:00]"})</f>
        <v>12/1/2018</v>
      </c>
      <c r="D204" s="49" t="str">
        <f>INDEX(TPData[Sales Rep],MATCH('Deal Size Analysis'!$B204,TPData[Client],FALSE))</f>
        <v>Rep 20</v>
      </c>
      <c r="E204" s="4" vm="1222">
        <f t="shared" si="10"/>
        <v>7379.3436000000002</v>
      </c>
      <c r="F204" s="4" t="str">
        <f t="shared" si="11"/>
        <v>Medium (&lt;10k)</v>
      </c>
    </row>
    <row r="205" spans="2:6" x14ac:dyDescent="0.2">
      <c r="B205" s="49" t="str" vm="1013">
        <f>CUBEMEMBER("ThisWorkbookDataModel","[TPData].[Client].&amp;[Client 307]")</f>
        <v>Client 307</v>
      </c>
      <c r="C205" s="49" t="str" vm="586">
        <f>CUBEMEMBER("ThisWorkbookDataModel",{"[TPData].[Client].&amp;[Client 307]","[TPData].[Close Month].&amp;[2018-12-01T00:00:00]"})</f>
        <v>12/1/2018</v>
      </c>
      <c r="D205" s="49" t="str">
        <f>INDEX(TPData[Sales Rep],MATCH('Deal Size Analysis'!$B205,TPData[Client],FALSE))</f>
        <v>Rep 20</v>
      </c>
      <c r="E205" s="4" vm="1122">
        <f t="shared" si="10"/>
        <v>5670</v>
      </c>
      <c r="F205" s="4" t="str">
        <f t="shared" si="11"/>
        <v>Medium (&lt;10k)</v>
      </c>
    </row>
    <row r="206" spans="2:6" x14ac:dyDescent="0.2">
      <c r="B206" s="49" t="str" vm="210">
        <f>CUBEMEMBER("ThisWorkbookDataModel","[TPData].[Client].&amp;[Client 308]")</f>
        <v>Client 308</v>
      </c>
      <c r="C206" s="49" t="str" vm="392">
        <f>CUBEMEMBER("ThisWorkbookDataModel",{"[TPData].[Client].&amp;[Client 308]","[TPData].[Close Month].&amp;[2018-12-01T00:00:00]"})</f>
        <v>12/1/2018</v>
      </c>
      <c r="D206" s="49" t="str">
        <f>INDEX(TPData[Sales Rep],MATCH('Deal Size Analysis'!$B206,TPData[Client],FALSE))</f>
        <v>Rep 20</v>
      </c>
      <c r="E206" s="4" vm="1477">
        <f t="shared" si="10"/>
        <v>4888.8</v>
      </c>
      <c r="F206" s="4" t="str">
        <f t="shared" si="11"/>
        <v>Small (&lt;5k)</v>
      </c>
    </row>
    <row r="207" spans="2:6" x14ac:dyDescent="0.2">
      <c r="B207" s="49" t="str" vm="926">
        <f>CUBEMEMBER("ThisWorkbookDataModel","[TPData].[Client].&amp;[Client 309]")</f>
        <v>Client 309</v>
      </c>
      <c r="C207" s="49" t="str" vm="840">
        <f>CUBEMEMBER("ThisWorkbookDataModel",{"[TPData].[Client].&amp;[Client 309]","[TPData].[Close Month].&amp;[2018-12-01T00:00:00]"})</f>
        <v>12/1/2018</v>
      </c>
      <c r="D207" s="49" t="str">
        <f>INDEX(TPData[Sales Rep],MATCH('Deal Size Analysis'!$B207,TPData[Client],FALSE))</f>
        <v>Rep 20</v>
      </c>
      <c r="E207" s="4" vm="1271">
        <f t="shared" si="10"/>
        <v>19762.080000000002</v>
      </c>
      <c r="F207" s="4" t="str">
        <f t="shared" si="11"/>
        <v>Large (&lt;20k)</v>
      </c>
    </row>
    <row r="208" spans="2:6" x14ac:dyDescent="0.2">
      <c r="B208" s="49" t="str" vm="209">
        <f>CUBEMEMBER("ThisWorkbookDataModel","[TPData].[Client].&amp;[Client 310]")</f>
        <v>Client 310</v>
      </c>
      <c r="C208" s="49" t="str" vm="585">
        <f>CUBEMEMBER("ThisWorkbookDataModel",{"[TPData].[Client].&amp;[Client 310]","[TPData].[Close Month].&amp;[2018-12-01T00:00:00]"})</f>
        <v>12/1/2018</v>
      </c>
      <c r="D208" s="49" t="str">
        <f>INDEX(TPData[Sales Rep],MATCH('Deal Size Analysis'!$B208,TPData[Client],FALSE))</f>
        <v>Rep 20</v>
      </c>
      <c r="E208" s="4" vm="1121">
        <f t="shared" si="10"/>
        <v>13160.0376</v>
      </c>
      <c r="F208" s="4" t="str">
        <f t="shared" si="11"/>
        <v>Large (&lt;20k)</v>
      </c>
    </row>
    <row r="209" spans="2:6" x14ac:dyDescent="0.2">
      <c r="B209" s="49" t="str" vm="391">
        <f>CUBEMEMBER("ThisWorkbookDataModel","[TPData].[Client].&amp;[Client 311]")</f>
        <v>Client 311</v>
      </c>
      <c r="C209" s="49" t="str" vm="753">
        <f>CUBEMEMBER("ThisWorkbookDataModel",{"[TPData].[Client].&amp;[Client 311]","[TPData].[Close Month].&amp;[2019-01-01T00:00:00]"})</f>
        <v>1/1/2019</v>
      </c>
      <c r="D209" s="49" t="str">
        <f>INDEX(TPData[Sales Rep],MATCH('Deal Size Analysis'!$B209,TPData[Client],FALSE))</f>
        <v>Rep 20</v>
      </c>
      <c r="E209" s="4" vm="1221">
        <f t="shared" si="10"/>
        <v>18480</v>
      </c>
      <c r="F209" s="4" t="str">
        <f t="shared" si="11"/>
        <v>Large (&lt;20k)</v>
      </c>
    </row>
    <row r="210" spans="2:6" x14ac:dyDescent="0.2">
      <c r="B210" s="49" t="str" vm="208">
        <f>CUBEMEMBER("ThisWorkbookDataModel","[TPData].[Client].&amp;[Client 312]")</f>
        <v>Client 312</v>
      </c>
      <c r="C210" s="49" t="str" vm="1012">
        <f>CUBEMEMBER("ThisWorkbookDataModel",{"[TPData].[Client].&amp;[Client 312]","[TPData].[Close Month].&amp;[2019-01-01T00:00:00]"})</f>
        <v>1/1/2019</v>
      </c>
      <c r="D210" s="49" t="str">
        <f>INDEX(TPData[Sales Rep],MATCH('Deal Size Analysis'!$B210,TPData[Client],FALSE))</f>
        <v>Rep 20</v>
      </c>
      <c r="E210" s="4" vm="1391">
        <f t="shared" si="10"/>
        <v>10944</v>
      </c>
      <c r="F210" s="4" t="str">
        <f t="shared" si="11"/>
        <v>Large (&lt;20k)</v>
      </c>
    </row>
    <row r="211" spans="2:6" x14ac:dyDescent="0.2">
      <c r="B211" s="49" t="str" vm="584">
        <f>CUBEMEMBER("ThisWorkbookDataModel","[TPData].[Client].&amp;[Client 313]")</f>
        <v>Client 313</v>
      </c>
      <c r="C211" s="49" t="str" vm="390">
        <f>CUBEMEMBER("ThisWorkbookDataModel",{"[TPData].[Client].&amp;[Client 313]","[TPData].[Close Month].&amp;[2019-01-01T00:00:00]"})</f>
        <v>1/1/2019</v>
      </c>
      <c r="D211" s="49" t="str">
        <f>INDEX(TPData[Sales Rep],MATCH('Deal Size Analysis'!$B211,TPData[Client],FALSE))</f>
        <v>Rep 20</v>
      </c>
      <c r="E211" s="4" vm="1478">
        <f t="shared" si="10"/>
        <v>4400.0880000000006</v>
      </c>
      <c r="F211" s="4" t="str">
        <f t="shared" si="11"/>
        <v>Small (&lt;5k)</v>
      </c>
    </row>
    <row r="212" spans="2:6" x14ac:dyDescent="0.2">
      <c r="B212" s="49" t="str" vm="207">
        <f>CUBEMEMBER("ThisWorkbookDataModel","[TPData].[Client].&amp;[Client 314]")</f>
        <v>Client 314</v>
      </c>
      <c r="C212" s="49" t="str" vm="925">
        <f>CUBEMEMBER("ThisWorkbookDataModel",{"[TPData].[Client].&amp;[Client 314]","[TPData].[Close Month].&amp;[2019-01-01T00:00:00]"})</f>
        <v>1/1/2019</v>
      </c>
      <c r="D212" s="49" t="str">
        <f>INDEX(TPData[Sales Rep],MATCH('Deal Size Analysis'!$B212,TPData[Client],FALSE))</f>
        <v>Rep 20</v>
      </c>
      <c r="E212" s="4" vm="1337">
        <f t="shared" si="10"/>
        <v>3300.0000000000005</v>
      </c>
      <c r="F212" s="4" t="str">
        <f t="shared" si="11"/>
        <v>Small (&lt;5k)</v>
      </c>
    </row>
    <row r="213" spans="2:6" x14ac:dyDescent="0.2">
      <c r="B213" s="49" t="str" vm="839">
        <f>CUBEMEMBER("ThisWorkbookDataModel","[TPData].[Client].&amp;[Client 315]")</f>
        <v>Client 315</v>
      </c>
      <c r="C213" s="49" t="str" vm="583">
        <f>CUBEMEMBER("ThisWorkbookDataModel",{"[TPData].[Client].&amp;[Client 315]","[TPData].[Close Month].&amp;[2019-02-01T00:00:00]"})</f>
        <v>2/1/2019</v>
      </c>
      <c r="D213" s="49" t="str">
        <f>INDEX(TPData[Sales Rep],MATCH('Deal Size Analysis'!$B213,TPData[Client],FALSE))</f>
        <v>Rep 20</v>
      </c>
      <c r="E213" s="4" vm="1158">
        <f t="shared" si="10"/>
        <v>1272</v>
      </c>
      <c r="F213" s="4" t="str">
        <f t="shared" si="11"/>
        <v>Small (&lt;5k)</v>
      </c>
    </row>
    <row r="214" spans="2:6" x14ac:dyDescent="0.2">
      <c r="B214" s="49" t="str" vm="206">
        <f>CUBEMEMBER("ThisWorkbookDataModel","[TPData].[Client].&amp;[Client 316]")</f>
        <v>Client 316</v>
      </c>
      <c r="C214" s="49" t="str" vm="389">
        <f>CUBEMEMBER("ThisWorkbookDataModel",{"[TPData].[Client].&amp;[Client 316]","[TPData].[Close Month].&amp;[2019-02-01T00:00:00]"})</f>
        <v>2/1/2019</v>
      </c>
      <c r="D214" s="49" t="str">
        <f>INDEX(TPData[Sales Rep],MATCH('Deal Size Analysis'!$B214,TPData[Client],FALSE))</f>
        <v>Rep 20</v>
      </c>
      <c r="E214" s="4" vm="1479">
        <f t="shared" si="10"/>
        <v>2496</v>
      </c>
      <c r="F214" s="4" t="str">
        <f t="shared" si="11"/>
        <v>Small (&lt;5k)</v>
      </c>
    </row>
    <row r="215" spans="2:6" x14ac:dyDescent="0.2">
      <c r="B215" s="49" t="str" vm="752">
        <f>CUBEMEMBER("ThisWorkbookDataModel","[TPData].[Client].&amp;[Client 317]")</f>
        <v>Client 317</v>
      </c>
      <c r="C215" s="49" t="str" vm="1011">
        <f>CUBEMEMBER("ThisWorkbookDataModel",{"[TPData].[Client].&amp;[Client 317]","[TPData].[Close Month].&amp;[2019-02-01T00:00:00]"})</f>
        <v>2/1/2019</v>
      </c>
      <c r="D215" s="49" t="str">
        <f>INDEX(TPData[Sales Rep],MATCH('Deal Size Analysis'!$B215,TPData[Client],FALSE))</f>
        <v>Rep 20</v>
      </c>
      <c r="E215" s="4" vm="1390">
        <f t="shared" si="10"/>
        <v>25000</v>
      </c>
      <c r="F215" s="4" t="str">
        <f t="shared" si="11"/>
        <v>Mega (20k+)</v>
      </c>
    </row>
    <row r="216" spans="2:6" x14ac:dyDescent="0.2">
      <c r="B216" s="49" t="str" vm="205">
        <f>CUBEMEMBER("ThisWorkbookDataModel","[TPData].[Client].&amp;[Client 318]")</f>
        <v>Client 318</v>
      </c>
      <c r="C216" s="49" t="str" vm="582">
        <f>CUBEMEMBER("ThisWorkbookDataModel",{"[TPData].[Client].&amp;[Client 318]","[TPData].[Close Month].&amp;[2019-02-01T00:00:00]"})</f>
        <v>2/1/2019</v>
      </c>
      <c r="D216" s="49" t="str">
        <f>INDEX(TPData[Sales Rep],MATCH('Deal Size Analysis'!$B216,TPData[Client],FALSE))</f>
        <v>Rep 20</v>
      </c>
      <c r="E216" s="4" vm="1120">
        <f t="shared" si="10"/>
        <v>4608</v>
      </c>
      <c r="F216" s="4" t="str">
        <f t="shared" si="11"/>
        <v>Small (&lt;5k)</v>
      </c>
    </row>
    <row r="217" spans="2:6" x14ac:dyDescent="0.2">
      <c r="B217" s="49" t="str" vm="388">
        <f>CUBEMEMBER("ThisWorkbookDataModel","[TPData].[Client].&amp;[Client 319]")</f>
        <v>Client 319</v>
      </c>
      <c r="C217" s="49" t="str" vm="924">
        <f>CUBEMEMBER("ThisWorkbookDataModel",{"[TPData].[Client].&amp;[Client 319]","[TPData].[Close Month].&amp;[2019-03-01T00:00:00]"})</f>
        <v>3/1/2019</v>
      </c>
      <c r="D217" s="49" t="str">
        <f>INDEX(TPData[Sales Rep],MATCH('Deal Size Analysis'!$B217,TPData[Client],FALSE))</f>
        <v>Rep 20</v>
      </c>
      <c r="E217" s="4" vm="1336">
        <f t="shared" si="10"/>
        <v>1800.9</v>
      </c>
      <c r="F217" s="4" t="str">
        <f t="shared" si="11"/>
        <v>Small (&lt;5k)</v>
      </c>
    </row>
    <row r="218" spans="2:6" x14ac:dyDescent="0.2">
      <c r="B218" s="49" t="str" vm="204">
        <f>CUBEMEMBER("ThisWorkbookDataModel","[TPData].[Client].&amp;[Client 320]")</f>
        <v>Client 320</v>
      </c>
      <c r="C218" s="49" t="str" vm="838">
        <f>CUBEMEMBER("ThisWorkbookDataModel",{"[TPData].[Client].&amp;[Client 320]","[TPData].[Close Month].&amp;[2019-03-01T00:00:00]"})</f>
        <v>3/1/2019</v>
      </c>
      <c r="D218" s="49" t="str">
        <f>INDEX(TPData[Sales Rep],MATCH('Deal Size Analysis'!$B218,TPData[Client],FALSE))</f>
        <v>Rep 20</v>
      </c>
      <c r="E218" s="4" vm="1270">
        <f t="shared" si="10"/>
        <v>2352</v>
      </c>
      <c r="F218" s="4" t="str">
        <f t="shared" si="11"/>
        <v>Small (&lt;5k)</v>
      </c>
    </row>
    <row r="219" spans="2:6" x14ac:dyDescent="0.2">
      <c r="B219" s="49" t="str" vm="581">
        <f>CUBEMEMBER("ThisWorkbookDataModel","[TPData].[Client].&amp;[Client 321]")</f>
        <v>Client 321</v>
      </c>
      <c r="C219" s="49" t="str" vm="387">
        <f>CUBEMEMBER("ThisWorkbookDataModel",{"[TPData].[Client].&amp;[Client 321]","[TPData].[Close Month].&amp;[2019-03-01T00:00:00]"})</f>
        <v>3/1/2019</v>
      </c>
      <c r="D219" s="49" t="str">
        <f>INDEX(TPData[Sales Rep],MATCH('Deal Size Analysis'!$B219,TPData[Client],FALSE))</f>
        <v>Rep 20</v>
      </c>
      <c r="E219" s="4" vm="1480">
        <f t="shared" si="10"/>
        <v>3150</v>
      </c>
      <c r="F219" s="4" t="str">
        <f t="shared" si="11"/>
        <v>Small (&lt;5k)</v>
      </c>
    </row>
    <row r="220" spans="2:6" x14ac:dyDescent="0.2">
      <c r="B220" s="49" t="str" vm="203">
        <f>CUBEMEMBER("ThisWorkbookDataModel","[TPData].[Client].&amp;[Client 322]")</f>
        <v>Client 322</v>
      </c>
      <c r="C220" s="49" t="str" vm="751">
        <f>CUBEMEMBER("ThisWorkbookDataModel",{"[TPData].[Client].&amp;[Client 322]","[TPData].[Close Month].&amp;[2019-03-01T00:00:00]"})</f>
        <v>3/1/2019</v>
      </c>
      <c r="D220" s="49" t="str">
        <f>INDEX(TPData[Sales Rep],MATCH('Deal Size Analysis'!$B220,TPData[Client],FALSE))</f>
        <v>Rep 20</v>
      </c>
      <c r="E220" s="4" vm="1220">
        <f t="shared" si="10"/>
        <v>15600</v>
      </c>
      <c r="F220" s="4" t="str">
        <f t="shared" si="11"/>
        <v>Large (&lt;20k)</v>
      </c>
    </row>
    <row r="221" spans="2:6" x14ac:dyDescent="0.2">
      <c r="B221" s="49" t="str" vm="1010">
        <f>CUBEMEMBER("ThisWorkbookDataModel","[TPData].[Client].&amp;[Client 323]")</f>
        <v>Client 323</v>
      </c>
      <c r="C221" s="49" t="str" vm="580">
        <f>CUBEMEMBER("ThisWorkbookDataModel",{"[TPData].[Client].&amp;[Client 323]","[TPData].[Close Month].&amp;[2019-03-01T00:00:00]"})</f>
        <v>3/1/2019</v>
      </c>
      <c r="D221" s="49" t="str">
        <f>INDEX(TPData[Sales Rep],MATCH('Deal Size Analysis'!$B221,TPData[Client],FALSE))</f>
        <v>Rep 20</v>
      </c>
      <c r="E221" s="4" vm="1119">
        <f t="shared" si="10"/>
        <v>9240</v>
      </c>
      <c r="F221" s="4" t="str">
        <f t="shared" si="11"/>
        <v>Medium (&lt;10k)</v>
      </c>
    </row>
    <row r="222" spans="2:6" x14ac:dyDescent="0.2">
      <c r="B222" s="49" t="str" vm="202">
        <f>CUBEMEMBER("ThisWorkbookDataModel","[TPData].[Client].&amp;[Client 324]")</f>
        <v>Client 324</v>
      </c>
      <c r="C222" s="49" t="str" vm="386">
        <f>CUBEMEMBER("ThisWorkbookDataModel",{"[TPData].[Client].&amp;[Client 324]","[TPData].[Close Month].&amp;[2019-04-01T00:00:00]"})</f>
        <v>4/1/2019</v>
      </c>
      <c r="D222" s="49" t="str">
        <f>INDEX(TPData[Sales Rep],MATCH('Deal Size Analysis'!$B222,TPData[Client],FALSE))</f>
        <v>Rep 20</v>
      </c>
      <c r="E222" s="4" vm="1481">
        <f t="shared" si="10"/>
        <v>1164</v>
      </c>
      <c r="F222" s="4" t="str">
        <f t="shared" si="11"/>
        <v>Small (&lt;5k)</v>
      </c>
    </row>
    <row r="223" spans="2:6" x14ac:dyDescent="0.2">
      <c r="B223" s="49" t="str" vm="923">
        <f>CUBEMEMBER("ThisWorkbookDataModel","[TPData].[Client].&amp;[Client 325]")</f>
        <v>Client 325</v>
      </c>
      <c r="C223" s="49" t="str" vm="837">
        <f>CUBEMEMBER("ThisWorkbookDataModel",{"[TPData].[Client].&amp;[Client 325]","[TPData].[Close Month].&amp;[2019-04-01T00:00:00]"})</f>
        <v>4/1/2019</v>
      </c>
      <c r="D223" s="49" t="str">
        <f>INDEX(TPData[Sales Rep],MATCH('Deal Size Analysis'!$B223,TPData[Client],FALSE))</f>
        <v>Rep 20</v>
      </c>
      <c r="E223" s="4" vm="1269">
        <f t="shared" si="10"/>
        <v>11289.6</v>
      </c>
      <c r="F223" s="4" t="str">
        <f t="shared" si="11"/>
        <v>Large (&lt;20k)</v>
      </c>
    </row>
    <row r="224" spans="2:6" x14ac:dyDescent="0.2">
      <c r="B224" s="49" t="str" vm="201">
        <f>CUBEMEMBER("ThisWorkbookDataModel","[TPData].[Client].&amp;[Client 326]")</f>
        <v>Client 326</v>
      </c>
      <c r="C224" s="49" t="str" vm="579">
        <f>CUBEMEMBER("ThisWorkbookDataModel",{"[TPData].[Client].&amp;[Client 326]","[TPData].[Close Month].&amp;[2019-04-01T00:00:00]"})</f>
        <v>4/1/2019</v>
      </c>
      <c r="D224" s="49" t="str">
        <f>INDEX(TPData[Sales Rep],MATCH('Deal Size Analysis'!$B224,TPData[Client],FALSE))</f>
        <v>Rep 20</v>
      </c>
      <c r="E224" s="4" vm="1118">
        <f t="shared" si="10"/>
        <v>7848.0000000000009</v>
      </c>
      <c r="F224" s="4" t="str">
        <f t="shared" si="11"/>
        <v>Medium (&lt;10k)</v>
      </c>
    </row>
    <row r="225" spans="2:6" x14ac:dyDescent="0.2">
      <c r="B225" s="49" t="str" vm="385">
        <f>CUBEMEMBER("ThisWorkbookDataModel","[TPData].[Client].&amp;[Client 327]")</f>
        <v>Client 327</v>
      </c>
      <c r="C225" s="49" t="str" vm="750">
        <f>CUBEMEMBER("ThisWorkbookDataModel",{"[TPData].[Client].&amp;[Client 327]","[TPData].[Close Month].&amp;[2019-04-01T00:00:00]"})</f>
        <v>4/1/2019</v>
      </c>
      <c r="D225" s="49" t="str">
        <f>INDEX(TPData[Sales Rep],MATCH('Deal Size Analysis'!$B225,TPData[Client],FALSE))</f>
        <v>Rep 20</v>
      </c>
      <c r="E225" s="4" vm="1219">
        <f t="shared" si="10"/>
        <v>1128</v>
      </c>
      <c r="F225" s="4" t="str">
        <f t="shared" si="11"/>
        <v>Small (&lt;5k)</v>
      </c>
    </row>
    <row r="226" spans="2:6" x14ac:dyDescent="0.2">
      <c r="B226" s="49" t="str" vm="200">
        <f>CUBEMEMBER("ThisWorkbookDataModel","[TPData].[Client].&amp;[Client 328]")</f>
        <v>Client 328</v>
      </c>
      <c r="C226" s="49" t="str" vm="1009">
        <f>CUBEMEMBER("ThisWorkbookDataModel",{"[TPData].[Client].&amp;[Client 328]","[TPData].[Close Month].&amp;[2019-05-01T00:00:00]"})</f>
        <v>5/1/2019</v>
      </c>
      <c r="D226" s="49" t="str">
        <f>INDEX(TPData[Sales Rep],MATCH('Deal Size Analysis'!$B226,TPData[Client],FALSE))</f>
        <v>Rep 20</v>
      </c>
      <c r="E226" s="4" vm="1389">
        <f t="shared" si="10"/>
        <v>1104</v>
      </c>
      <c r="F226" s="4" t="str">
        <f t="shared" si="11"/>
        <v>Small (&lt;5k)</v>
      </c>
    </row>
    <row r="227" spans="2:6" x14ac:dyDescent="0.2">
      <c r="B227" s="49" t="str" vm="578">
        <f>CUBEMEMBER("ThisWorkbookDataModel","[TPData].[Client].&amp;[Client 329]")</f>
        <v>Client 329</v>
      </c>
      <c r="C227" s="49" t="str" vm="384">
        <f>CUBEMEMBER("ThisWorkbookDataModel",{"[TPData].[Client].&amp;[Client 329]","[TPData].[Close Month].&amp;[2019-05-01T00:00:00]"})</f>
        <v>5/1/2019</v>
      </c>
      <c r="D227" s="49" t="str">
        <f>INDEX(TPData[Sales Rep],MATCH('Deal Size Analysis'!$B227,TPData[Client],FALSE))</f>
        <v>Rep 20</v>
      </c>
      <c r="E227" s="4" vm="1482">
        <f t="shared" si="10"/>
        <v>1272</v>
      </c>
      <c r="F227" s="4" t="str">
        <f t="shared" si="11"/>
        <v>Small (&lt;5k)</v>
      </c>
    </row>
    <row r="228" spans="2:6" x14ac:dyDescent="0.2">
      <c r="B228" s="49" t="str" vm="199">
        <f>CUBEMEMBER("ThisWorkbookDataModel","[TPData].[Client].&amp;[Client 330]")</f>
        <v>Client 330</v>
      </c>
      <c r="C228" s="49" t="str" vm="922">
        <f>CUBEMEMBER("ThisWorkbookDataModel",{"[TPData].[Client].&amp;[Client 330]","[TPData].[Close Month].&amp;[2019-05-01T00:00:00]"})</f>
        <v>5/1/2019</v>
      </c>
      <c r="D228" s="49" t="str">
        <f>INDEX(TPData[Sales Rep],MATCH('Deal Size Analysis'!$B228,TPData[Client],FALSE))</f>
        <v>Rep 20</v>
      </c>
      <c r="E228" s="4" vm="1335">
        <f t="shared" si="10"/>
        <v>14400</v>
      </c>
      <c r="F228" s="4" t="str">
        <f t="shared" si="11"/>
        <v>Large (&lt;20k)</v>
      </c>
    </row>
    <row r="229" spans="2:6" x14ac:dyDescent="0.2">
      <c r="B229" s="49" t="str" vm="836">
        <f>CUBEMEMBER("ThisWorkbookDataModel","[TPData].[Client].&amp;[Client 331]")</f>
        <v>Client 331</v>
      </c>
      <c r="C229" s="49" t="str" vm="577">
        <f>CUBEMEMBER("ThisWorkbookDataModel",{"[TPData].[Client].&amp;[Client 331]","[TPData].[Close Month].&amp;[2019-05-01T00:00:00]"})</f>
        <v>5/1/2019</v>
      </c>
      <c r="D229" s="49" t="str">
        <f>INDEX(TPData[Sales Rep],MATCH('Deal Size Analysis'!$B229,TPData[Client],FALSE))</f>
        <v>Rep 20</v>
      </c>
      <c r="E229" s="4" vm="1240">
        <f t="shared" si="10"/>
        <v>1962.0000000000002</v>
      </c>
      <c r="F229" s="4" t="str">
        <f t="shared" si="11"/>
        <v>Small (&lt;5k)</v>
      </c>
    </row>
    <row r="230" spans="2:6" x14ac:dyDescent="0.2">
      <c r="B230" s="49" t="str" vm="198">
        <f>CUBEMEMBER("ThisWorkbookDataModel","[TPData].[Client].&amp;[Client 332]")</f>
        <v>Client 332</v>
      </c>
      <c r="C230" s="49" t="str" vm="383">
        <f>CUBEMEMBER("ThisWorkbookDataModel",{"[TPData].[Client].&amp;[Client 332]","[TPData].[Close Month].&amp;[2019-05-01T00:00:00]"})</f>
        <v>5/1/2019</v>
      </c>
      <c r="D230" s="49" t="str">
        <f>INDEX(TPData[Sales Rep],MATCH('Deal Size Analysis'!$B230,TPData[Client],FALSE))</f>
        <v>Rep 20</v>
      </c>
      <c r="E230" s="4" vm="1483">
        <f t="shared" si="10"/>
        <v>15750</v>
      </c>
      <c r="F230" s="4" t="str">
        <f t="shared" si="11"/>
        <v>Large (&lt;20k)</v>
      </c>
    </row>
    <row r="231" spans="2:6" x14ac:dyDescent="0.2">
      <c r="B231" s="49" t="str" vm="749">
        <f>CUBEMEMBER("ThisWorkbookDataModel","[TPData].[Client].&amp;[Client 333]")</f>
        <v>Client 333</v>
      </c>
      <c r="C231" s="49" t="str" vm="1008">
        <f>CUBEMEMBER("ThisWorkbookDataModel",{"[TPData].[Client].&amp;[Client 333]","[TPData].[Close Month].&amp;[2019-05-01T00:00:00]"})</f>
        <v>5/1/2019</v>
      </c>
      <c r="D231" s="49" t="str">
        <f>INDEX(TPData[Sales Rep],MATCH('Deal Size Analysis'!$B231,TPData[Client],FALSE))</f>
        <v>Rep 20</v>
      </c>
      <c r="E231" s="4" vm="1388">
        <f t="shared" si="10"/>
        <v>6480</v>
      </c>
      <c r="F231" s="4" t="str">
        <f t="shared" si="11"/>
        <v>Medium (&lt;10k)</v>
      </c>
    </row>
    <row r="232" spans="2:6" x14ac:dyDescent="0.2">
      <c r="B232" s="49" t="str" vm="197">
        <f>CUBEMEMBER("ThisWorkbookDataModel","[TPData].[Client].&amp;[Client 334]")</f>
        <v>Client 334</v>
      </c>
      <c r="C232" s="49" t="str" vm="576">
        <f>CUBEMEMBER("ThisWorkbookDataModel",{"[TPData].[Client].&amp;[Client 334]","[TPData].[Close Month].&amp;[2019-05-01T00:00:00]"})</f>
        <v>5/1/2019</v>
      </c>
      <c r="D232" s="49" t="str">
        <f>INDEX(TPData[Sales Rep],MATCH('Deal Size Analysis'!$B232,TPData[Client],FALSE))</f>
        <v>Rep 20</v>
      </c>
      <c r="E232" s="4" vm="1117">
        <f t="shared" si="10"/>
        <v>4752</v>
      </c>
      <c r="F232" s="4" t="str">
        <f t="shared" si="11"/>
        <v>Small (&lt;5k)</v>
      </c>
    </row>
    <row r="233" spans="2:6" x14ac:dyDescent="0.2">
      <c r="B233" s="49" t="str" vm="382">
        <f>CUBEMEMBER("ThisWorkbookDataModel","[TPData].[Client].&amp;[Client 335]")</f>
        <v>Client 335</v>
      </c>
      <c r="C233" s="49" t="str" vm="921">
        <f>CUBEMEMBER("ThisWorkbookDataModel",{"[TPData].[Client].&amp;[Client 335]","[TPData].[Close Month].&amp;[2019-05-01T00:00:00]"})</f>
        <v>5/1/2019</v>
      </c>
      <c r="D233" s="49" t="str">
        <f>INDEX(TPData[Sales Rep],MATCH('Deal Size Analysis'!$B233,TPData[Client],FALSE))</f>
        <v>Rep 20</v>
      </c>
      <c r="E233" s="4" vm="1334">
        <f t="shared" si="10"/>
        <v>10920</v>
      </c>
      <c r="F233" s="4" t="str">
        <f t="shared" si="11"/>
        <v>Large (&lt;20k)</v>
      </c>
    </row>
    <row r="234" spans="2:6" x14ac:dyDescent="0.2">
      <c r="B234" s="49" t="str" vm="196">
        <f>CUBEMEMBER("ThisWorkbookDataModel","[TPData].[Client].&amp;[Client 336]")</f>
        <v>Client 336</v>
      </c>
      <c r="C234" s="49" t="str" vm="835">
        <f>CUBEMEMBER("ThisWorkbookDataModel",{"[TPData].[Client].&amp;[Client 336]","[TPData].[Close Month].&amp;[2019-06-01T00:00:00]"})</f>
        <v>6/1/2019</v>
      </c>
      <c r="D234" s="49" t="str">
        <f>INDEX(TPData[Sales Rep],MATCH('Deal Size Analysis'!$B234,TPData[Client],FALSE))</f>
        <v>Rep 20</v>
      </c>
      <c r="E234" s="4" vm="1268">
        <f t="shared" si="10"/>
        <v>14968.8</v>
      </c>
      <c r="F234" s="4" t="str">
        <f t="shared" si="11"/>
        <v>Large (&lt;20k)</v>
      </c>
    </row>
    <row r="235" spans="2:6" x14ac:dyDescent="0.2">
      <c r="B235" s="49" t="str" vm="575">
        <f>CUBEMEMBER("ThisWorkbookDataModel","[TPData].[Client].&amp;[Client 337]")</f>
        <v>Client 337</v>
      </c>
      <c r="C235" s="49" t="str" vm="381">
        <f>CUBEMEMBER("ThisWorkbookDataModel",{"[TPData].[Client].&amp;[Client 337]","[TPData].[Close Month].&amp;[2019-06-01T00:00:00]"})</f>
        <v>6/1/2019</v>
      </c>
      <c r="D235" s="49" t="str">
        <f>INDEX(TPData[Sales Rep],MATCH('Deal Size Analysis'!$B235,TPData[Client],FALSE))</f>
        <v>Rep 20</v>
      </c>
      <c r="E235" s="4" vm="1484">
        <f t="shared" si="10"/>
        <v>4320</v>
      </c>
      <c r="F235" s="4" t="str">
        <f t="shared" si="11"/>
        <v>Small (&lt;5k)</v>
      </c>
    </row>
    <row r="236" spans="2:6" x14ac:dyDescent="0.2">
      <c r="B236" s="49" t="str" vm="195">
        <f>CUBEMEMBER("ThisWorkbookDataModel","[TPData].[Client].&amp;[Client 338]")</f>
        <v>Client 338</v>
      </c>
      <c r="C236" s="49" t="str" vm="748">
        <f>CUBEMEMBER("ThisWorkbookDataModel",{"[TPData].[Client].&amp;[Client 338]","[TPData].[Close Month].&amp;[2019-06-01T00:00:00]"})</f>
        <v>6/1/2019</v>
      </c>
      <c r="D236" s="49" t="str">
        <f>INDEX(TPData[Sales Rep],MATCH('Deal Size Analysis'!$B236,TPData[Client],FALSE))</f>
        <v>Rep 20</v>
      </c>
      <c r="E236" s="4" vm="1218">
        <f t="shared" si="10"/>
        <v>3852</v>
      </c>
      <c r="F236" s="4" t="str">
        <f t="shared" si="11"/>
        <v>Small (&lt;5k)</v>
      </c>
    </row>
    <row r="237" spans="2:6" x14ac:dyDescent="0.2">
      <c r="B237" s="49" t="str" vm="1007">
        <f>CUBEMEMBER("ThisWorkbookDataModel","[TPData].[Client].&amp;[Client 381]")</f>
        <v>Client 381</v>
      </c>
      <c r="C237" s="49" t="str" vm="574">
        <f>CUBEMEMBER("ThisWorkbookDataModel",{"[TPData].[Client].&amp;[Client 381]","[TPData].[Close Month].&amp;[2018-07-01T00:00:00]"})</f>
        <v>7/1/2018</v>
      </c>
      <c r="D237" s="49" t="str">
        <f>INDEX(TPData[Sales Rep],MATCH('Deal Size Analysis'!$B237,TPData[Client],FALSE))</f>
        <v>Rep 12</v>
      </c>
      <c r="E237" s="4" vm="1116">
        <f t="shared" si="10"/>
        <v>4976.6399999999994</v>
      </c>
      <c r="F237" s="4" t="str">
        <f t="shared" si="11"/>
        <v>Small (&lt;5k)</v>
      </c>
    </row>
    <row r="238" spans="2:6" x14ac:dyDescent="0.2">
      <c r="B238" s="49" t="str" vm="194">
        <f>CUBEMEMBER("ThisWorkbookDataModel","[TPData].[Client].&amp;[Client 382]")</f>
        <v>Client 382</v>
      </c>
      <c r="C238" s="49" t="str" vm="380">
        <f>CUBEMEMBER("ThisWorkbookDataModel",{"[TPData].[Client].&amp;[Client 382]","[TPData].[Close Month].&amp;[2018-08-01T00:00:00]"})</f>
        <v>8/1/2018</v>
      </c>
      <c r="D238" s="49" t="str">
        <f>INDEX(TPData[Sales Rep],MATCH('Deal Size Analysis'!$B238,TPData[Client],FALSE))</f>
        <v>Rep 12</v>
      </c>
      <c r="E238" s="4" vm="1485">
        <f t="shared" si="10"/>
        <v>4160.16</v>
      </c>
      <c r="F238" s="4" t="str">
        <f t="shared" si="11"/>
        <v>Small (&lt;5k)</v>
      </c>
    </row>
    <row r="239" spans="2:6" x14ac:dyDescent="0.2">
      <c r="B239" s="49" t="str" vm="920">
        <f>CUBEMEMBER("ThisWorkbookDataModel","[TPData].[Client].&amp;[Client 383]")</f>
        <v>Client 383</v>
      </c>
      <c r="C239" s="49" t="str" vm="834">
        <f>CUBEMEMBER("ThisWorkbookDataModel",{"[TPData].[Client].&amp;[Client 383]","[TPData].[Close Month].&amp;[2018-08-01T00:00:00]"})</f>
        <v>8/1/2018</v>
      </c>
      <c r="D239" s="49" t="str">
        <f>INDEX(TPData[Sales Rep],MATCH('Deal Size Analysis'!$B239,TPData[Client],FALSE))</f>
        <v>Rep 12</v>
      </c>
      <c r="E239" s="4" vm="1267">
        <f t="shared" si="10"/>
        <v>2063.88</v>
      </c>
      <c r="F239" s="4" t="str">
        <f t="shared" si="11"/>
        <v>Small (&lt;5k)</v>
      </c>
    </row>
    <row r="240" spans="2:6" x14ac:dyDescent="0.2">
      <c r="B240" s="49" t="str" vm="193">
        <f>CUBEMEMBER("ThisWorkbookDataModel","[TPData].[Client].&amp;[Client 384]")</f>
        <v>Client 384</v>
      </c>
      <c r="C240" s="49" t="str" vm="573">
        <f>CUBEMEMBER("ThisWorkbookDataModel",{"[TPData].[Client].&amp;[Client 384]","[TPData].[Close Month].&amp;[2018-08-01T00:00:00]"})</f>
        <v>8/1/2018</v>
      </c>
      <c r="D240" s="49" t="str">
        <f>INDEX(TPData[Sales Rep],MATCH('Deal Size Analysis'!$B240,TPData[Client],FALSE))</f>
        <v>Rep 12</v>
      </c>
      <c r="E240" s="4" vm="1115">
        <f t="shared" si="10"/>
        <v>7581.6466559999999</v>
      </c>
      <c r="F240" s="4" t="str">
        <f t="shared" si="11"/>
        <v>Medium (&lt;10k)</v>
      </c>
    </row>
    <row r="241" spans="2:6" x14ac:dyDescent="0.2">
      <c r="B241" s="49" t="str" vm="379">
        <f>CUBEMEMBER("ThisWorkbookDataModel","[TPData].[Client].&amp;[Client 385]")</f>
        <v>Client 385</v>
      </c>
      <c r="C241" s="49" t="str" vm="747">
        <f>CUBEMEMBER("ThisWorkbookDataModel",{"[TPData].[Client].&amp;[Client 385]","[TPData].[Close Month].&amp;[2018-08-01T00:00:00]"})</f>
        <v>8/1/2018</v>
      </c>
      <c r="D241" s="49" t="str">
        <f>INDEX(TPData[Sales Rep],MATCH('Deal Size Analysis'!$B241,TPData[Client],FALSE))</f>
        <v>Rep 12</v>
      </c>
      <c r="E241" s="4" vm="1217">
        <f t="shared" si="10"/>
        <v>1179.3600000000001</v>
      </c>
      <c r="F241" s="4" t="str">
        <f t="shared" si="11"/>
        <v>Small (&lt;5k)</v>
      </c>
    </row>
    <row r="242" spans="2:6" x14ac:dyDescent="0.2">
      <c r="B242" s="49" t="str" vm="192">
        <f>CUBEMEMBER("ThisWorkbookDataModel","[TPData].[Client].&amp;[Client 386]")</f>
        <v>Client 386</v>
      </c>
      <c r="C242" s="49" t="str" vm="1006">
        <f>CUBEMEMBER("ThisWorkbookDataModel",{"[TPData].[Client].&amp;[Client 386]","[TPData].[Close Month].&amp;[2018-09-01T00:00:00]"})</f>
        <v>9/1/2018</v>
      </c>
      <c r="D242" s="49" t="str">
        <f>INDEX(TPData[Sales Rep],MATCH('Deal Size Analysis'!$B242,TPData[Client],FALSE))</f>
        <v>Rep 12</v>
      </c>
      <c r="E242" s="4" vm="1387">
        <f t="shared" si="10"/>
        <v>1474.2</v>
      </c>
      <c r="F242" s="4" t="str">
        <f t="shared" si="11"/>
        <v>Small (&lt;5k)</v>
      </c>
    </row>
    <row r="243" spans="2:6" x14ac:dyDescent="0.2">
      <c r="B243" s="49" t="str" vm="572">
        <f>CUBEMEMBER("ThisWorkbookDataModel","[TPData].[Client].&amp;[Client 387]")</f>
        <v>Client 387</v>
      </c>
      <c r="C243" s="49" t="str" vm="378">
        <f>CUBEMEMBER("ThisWorkbookDataModel",{"[TPData].[Client].&amp;[Client 387]","[TPData].[Close Month].&amp;[2018-09-01T00:00:00]"})</f>
        <v>9/1/2018</v>
      </c>
      <c r="D243" s="49" t="str">
        <f>INDEX(TPData[Sales Rep],MATCH('Deal Size Analysis'!$B243,TPData[Client],FALSE))</f>
        <v>Rep 12</v>
      </c>
      <c r="E243" s="4" vm="1486">
        <f t="shared" si="10"/>
        <v>13996.8</v>
      </c>
      <c r="F243" s="4" t="str">
        <f t="shared" si="11"/>
        <v>Large (&lt;20k)</v>
      </c>
    </row>
    <row r="244" spans="2:6" x14ac:dyDescent="0.2">
      <c r="B244" s="49" t="str" vm="191">
        <f>CUBEMEMBER("ThisWorkbookDataModel","[TPData].[Client].&amp;[Client 388]")</f>
        <v>Client 388</v>
      </c>
      <c r="C244" s="49" t="str" vm="919">
        <f>CUBEMEMBER("ThisWorkbookDataModel",{"[TPData].[Client].&amp;[Client 388]","[TPData].[Close Month].&amp;[2018-10-01T00:00:00]"})</f>
        <v>10/1/2018</v>
      </c>
      <c r="D244" s="49" t="str">
        <f>INDEX(TPData[Sales Rep],MATCH('Deal Size Analysis'!$B244,TPData[Client],FALSE))</f>
        <v>Rep 12</v>
      </c>
      <c r="E244" s="4" vm="1333">
        <f t="shared" si="10"/>
        <v>4751.1359999999995</v>
      </c>
      <c r="F244" s="4" t="str">
        <f t="shared" si="11"/>
        <v>Small (&lt;5k)</v>
      </c>
    </row>
    <row r="245" spans="2:6" x14ac:dyDescent="0.2">
      <c r="B245" s="49" t="str" vm="833">
        <f>CUBEMEMBER("ThisWorkbookDataModel","[TPData].[Client].&amp;[Client 389]")</f>
        <v>Client 389</v>
      </c>
      <c r="C245" s="49" t="str" vm="571">
        <f>CUBEMEMBER("ThisWorkbookDataModel",{"[TPData].[Client].&amp;[Client 389]","[TPData].[Close Month].&amp;[2018-10-01T00:00:00]"})</f>
        <v>10/1/2018</v>
      </c>
      <c r="D245" s="49" t="str">
        <f>INDEX(TPData[Sales Rep],MATCH('Deal Size Analysis'!$B245,TPData[Client],FALSE))</f>
        <v>Rep 12</v>
      </c>
      <c r="E245" s="4" vm="1114">
        <f t="shared" si="10"/>
        <v>7128.0000000000009</v>
      </c>
      <c r="F245" s="4" t="str">
        <f t="shared" si="11"/>
        <v>Medium (&lt;10k)</v>
      </c>
    </row>
    <row r="246" spans="2:6" x14ac:dyDescent="0.2">
      <c r="B246" s="49" t="str" vm="190">
        <f>CUBEMEMBER("ThisWorkbookDataModel","[TPData].[Client].&amp;[Client 390]")</f>
        <v>Client 390</v>
      </c>
      <c r="C246" s="49" t="str" vm="377">
        <f>CUBEMEMBER("ThisWorkbookDataModel",{"[TPData].[Client].&amp;[Client 390]","[TPData].[Close Month].&amp;[2018-10-01T00:00:00]"})</f>
        <v>10/1/2018</v>
      </c>
      <c r="D246" s="49" t="str">
        <f>INDEX(TPData[Sales Rep],MATCH('Deal Size Analysis'!$B246,TPData[Client],FALSE))</f>
        <v>Rep 12</v>
      </c>
      <c r="E246" s="4" vm="1487">
        <f t="shared" si="10"/>
        <v>6739.2</v>
      </c>
      <c r="F246" s="4" t="str">
        <f t="shared" si="11"/>
        <v>Medium (&lt;10k)</v>
      </c>
    </row>
    <row r="247" spans="2:6" x14ac:dyDescent="0.2">
      <c r="B247" s="49" t="str" vm="746">
        <f>CUBEMEMBER("ThisWorkbookDataModel","[TPData].[Client].&amp;[Client 391]")</f>
        <v>Client 391</v>
      </c>
      <c r="C247" s="49" t="str" vm="1005">
        <f>CUBEMEMBER("ThisWorkbookDataModel",{"[TPData].[Client].&amp;[Client 391]","[TPData].[Close Month].&amp;[2018-11-01T00:00:00]"})</f>
        <v>11/1/2018</v>
      </c>
      <c r="D247" s="49" t="str">
        <f>INDEX(TPData[Sales Rep],MATCH('Deal Size Analysis'!$B247,TPData[Client],FALSE))</f>
        <v>Rep 12</v>
      </c>
      <c r="E247" s="4" vm="1386">
        <f t="shared" si="10"/>
        <v>12441.6</v>
      </c>
      <c r="F247" s="4" t="str">
        <f t="shared" si="11"/>
        <v>Large (&lt;20k)</v>
      </c>
    </row>
    <row r="248" spans="2:6" x14ac:dyDescent="0.2">
      <c r="B248" s="49" t="str" vm="189">
        <f>CUBEMEMBER("ThisWorkbookDataModel","[TPData].[Client].&amp;[Client 392]")</f>
        <v>Client 392</v>
      </c>
      <c r="C248" s="49" t="str" vm="570">
        <f>CUBEMEMBER("ThisWorkbookDataModel",{"[TPData].[Client].&amp;[Client 392]","[TPData].[Close Month].&amp;[2018-11-01T00:00:00]"})</f>
        <v>11/1/2018</v>
      </c>
      <c r="D248" s="49" t="str">
        <f>INDEX(TPData[Sales Rep],MATCH('Deal Size Analysis'!$B248,TPData[Client],FALSE))</f>
        <v>Rep 12</v>
      </c>
      <c r="E248" s="4" vm="1113">
        <f t="shared" si="10"/>
        <v>2514.2400000000002</v>
      </c>
      <c r="F248" s="4" t="str">
        <f t="shared" si="11"/>
        <v>Small (&lt;5k)</v>
      </c>
    </row>
    <row r="249" spans="2:6" x14ac:dyDescent="0.2">
      <c r="B249" s="49" t="str" vm="376">
        <f>CUBEMEMBER("ThisWorkbookDataModel","[TPData].[Client].&amp;[Client 393]")</f>
        <v>Client 393</v>
      </c>
      <c r="C249" s="49" t="str" vm="918">
        <f>CUBEMEMBER("ThisWorkbookDataModel",{"[TPData].[Client].&amp;[Client 393]","[TPData].[Close Month].&amp;[2019-01-01T00:00:00]"})</f>
        <v>1/1/2019</v>
      </c>
      <c r="D249" s="49" t="str">
        <f>INDEX(TPData[Sales Rep],MATCH('Deal Size Analysis'!$B249,TPData[Client],FALSE))</f>
        <v>Rep 12</v>
      </c>
      <c r="E249" s="4" vm="1332">
        <f t="shared" si="10"/>
        <v>2021.7599999999998</v>
      </c>
      <c r="F249" s="4" t="str">
        <f t="shared" si="11"/>
        <v>Small (&lt;5k)</v>
      </c>
    </row>
    <row r="250" spans="2:6" x14ac:dyDescent="0.2">
      <c r="B250" s="49" t="str" vm="188">
        <f>CUBEMEMBER("ThisWorkbookDataModel","[TPData].[Client].&amp;[Client 394]")</f>
        <v>Client 394</v>
      </c>
      <c r="C250" s="49" t="str" vm="832">
        <f>CUBEMEMBER("ThisWorkbookDataModel",{"[TPData].[Client].&amp;[Client 394]","[TPData].[Close Month].&amp;[2019-01-01T00:00:00]"})</f>
        <v>1/1/2019</v>
      </c>
      <c r="D250" s="49" t="str">
        <f>INDEX(TPData[Sales Rep],MATCH('Deal Size Analysis'!$B250,TPData[Client],FALSE))</f>
        <v>Rep 12</v>
      </c>
      <c r="E250" s="4" vm="1266">
        <f t="shared" si="10"/>
        <v>3499.2</v>
      </c>
      <c r="F250" s="4" t="str">
        <f t="shared" si="11"/>
        <v>Small (&lt;5k)</v>
      </c>
    </row>
    <row r="251" spans="2:6" x14ac:dyDescent="0.2">
      <c r="B251" s="49" t="str" vm="569">
        <f>CUBEMEMBER("ThisWorkbookDataModel","[TPData].[Client].&amp;[Client 395]")</f>
        <v>Client 395</v>
      </c>
      <c r="C251" s="49" t="str" vm="375">
        <f>CUBEMEMBER("ThisWorkbookDataModel",{"[TPData].[Client].&amp;[Client 395]","[TPData].[Close Month].&amp;[2019-01-01T00:00:00]"})</f>
        <v>1/1/2019</v>
      </c>
      <c r="D251" s="49" t="str">
        <f>INDEX(TPData[Sales Rep],MATCH('Deal Size Analysis'!$B251,TPData[Client],FALSE))</f>
        <v>Rep 12</v>
      </c>
      <c r="E251" s="4" vm="1488">
        <f t="shared" si="10"/>
        <v>6675.6959999999999</v>
      </c>
      <c r="F251" s="4" t="str">
        <f t="shared" si="11"/>
        <v>Medium (&lt;10k)</v>
      </c>
    </row>
    <row r="252" spans="2:6" x14ac:dyDescent="0.2">
      <c r="B252" s="49" t="str" vm="187">
        <f>CUBEMEMBER("ThisWorkbookDataModel","[TPData].[Client].&amp;[Client 396]")</f>
        <v>Client 396</v>
      </c>
      <c r="C252" s="49" t="str" vm="745">
        <f>CUBEMEMBER("ThisWorkbookDataModel",{"[TPData].[Client].&amp;[Client 396]","[TPData].[Close Month].&amp;[2019-02-01T00:00:00]"})</f>
        <v>2/1/2019</v>
      </c>
      <c r="D252" s="49" t="str">
        <f>INDEX(TPData[Sales Rep],MATCH('Deal Size Analysis'!$B252,TPData[Client],FALSE))</f>
        <v>Rep 12</v>
      </c>
      <c r="E252" s="4" vm="1216">
        <f t="shared" si="10"/>
        <v>5615.7753600000005</v>
      </c>
      <c r="F252" s="4" t="str">
        <f t="shared" si="11"/>
        <v>Medium (&lt;10k)</v>
      </c>
    </row>
    <row r="253" spans="2:6" x14ac:dyDescent="0.2">
      <c r="B253" s="49" t="str" vm="1004">
        <f>CUBEMEMBER("ThisWorkbookDataModel","[TPData].[Client].&amp;[Client 397]")</f>
        <v>Client 397</v>
      </c>
      <c r="C253" s="49" t="str" vm="568">
        <f>CUBEMEMBER("ThisWorkbookDataModel",{"[TPData].[Client].&amp;[Client 397]","[TPData].[Close Month].&amp;[2019-03-01T00:00:00]"})</f>
        <v>3/1/2019</v>
      </c>
      <c r="D253" s="49" t="str">
        <f>INDEX(TPData[Sales Rep],MATCH('Deal Size Analysis'!$B253,TPData[Client],FALSE))</f>
        <v>Rep 12</v>
      </c>
      <c r="E253" s="4" vm="1112">
        <f t="shared" si="10"/>
        <v>18468</v>
      </c>
      <c r="F253" s="4" t="str">
        <f t="shared" si="11"/>
        <v>Large (&lt;20k)</v>
      </c>
    </row>
    <row r="254" spans="2:6" x14ac:dyDescent="0.2">
      <c r="B254" s="49" t="str" vm="186">
        <f>CUBEMEMBER("ThisWorkbookDataModel","[TPData].[Client].&amp;[Client 398]")</f>
        <v>Client 398</v>
      </c>
      <c r="C254" s="49" t="str" vm="374">
        <f>CUBEMEMBER("ThisWorkbookDataModel",{"[TPData].[Client].&amp;[Client 398]","[TPData].[Close Month].&amp;[2019-03-01T00:00:00]"})</f>
        <v>3/1/2019</v>
      </c>
      <c r="D254" s="49" t="str">
        <f>INDEX(TPData[Sales Rep],MATCH('Deal Size Analysis'!$B254,TPData[Client],FALSE))</f>
        <v>Rep 12</v>
      </c>
      <c r="E254" s="4" vm="1489">
        <f t="shared" si="10"/>
        <v>6739.2</v>
      </c>
      <c r="F254" s="4" t="str">
        <f t="shared" si="11"/>
        <v>Medium (&lt;10k)</v>
      </c>
    </row>
    <row r="255" spans="2:6" x14ac:dyDescent="0.2">
      <c r="B255" s="49" t="str" vm="917">
        <f>CUBEMEMBER("ThisWorkbookDataModel","[TPData].[Client].&amp;[Client 399]")</f>
        <v>Client 399</v>
      </c>
      <c r="C255" s="49" t="str" vm="831">
        <f>CUBEMEMBER("ThisWorkbookDataModel",{"[TPData].[Client].&amp;[Client 399]","[TPData].[Close Month].&amp;[2019-03-01T00:00:00]"})</f>
        <v>3/1/2019</v>
      </c>
      <c r="D255" s="49" t="str">
        <f>INDEX(TPData[Sales Rep],MATCH('Deal Size Analysis'!$B255,TPData[Client],FALSE))</f>
        <v>Rep 12</v>
      </c>
      <c r="E255" s="4" vm="1265">
        <f t="shared" si="10"/>
        <v>1652.3999999999999</v>
      </c>
      <c r="F255" s="4" t="str">
        <f t="shared" si="11"/>
        <v>Small (&lt;5k)</v>
      </c>
    </row>
    <row r="256" spans="2:6" x14ac:dyDescent="0.2">
      <c r="B256" s="49" t="str" vm="185">
        <f>CUBEMEMBER("ThisWorkbookDataModel","[TPData].[Client].&amp;[Client 400]")</f>
        <v>Client 400</v>
      </c>
      <c r="C256" s="49" t="str" vm="567">
        <f>CUBEMEMBER("ThisWorkbookDataModel",{"[TPData].[Client].&amp;[Client 400]","[TPData].[Close Month].&amp;[2019-03-01T00:00:00]"})</f>
        <v>3/1/2019</v>
      </c>
      <c r="D256" s="49" t="str">
        <f>INDEX(TPData[Sales Rep],MATCH('Deal Size Analysis'!$B256,TPData[Client],FALSE))</f>
        <v>Rep 12</v>
      </c>
      <c r="E256" s="4" vm="1111">
        <f t="shared" si="10"/>
        <v>7931.52</v>
      </c>
      <c r="F256" s="4" t="str">
        <f t="shared" si="11"/>
        <v>Medium (&lt;10k)</v>
      </c>
    </row>
    <row r="257" spans="2:6" x14ac:dyDescent="0.2">
      <c r="B257" s="49" t="str" vm="373">
        <f>CUBEMEMBER("ThisWorkbookDataModel","[TPData].[Client].&amp;[Client 401]")</f>
        <v>Client 401</v>
      </c>
      <c r="C257" s="49" t="str" vm="744">
        <f>CUBEMEMBER("ThisWorkbookDataModel",{"[TPData].[Client].&amp;[Client 401]","[TPData].[Close Month].&amp;[2019-03-01T00:00:00]"})</f>
        <v>3/1/2019</v>
      </c>
      <c r="D257" s="49" t="str">
        <f>INDEX(TPData[Sales Rep],MATCH('Deal Size Analysis'!$B257,TPData[Client],FALSE))</f>
        <v>Rep 12</v>
      </c>
      <c r="E257" s="4" vm="1215">
        <f t="shared" si="10"/>
        <v>11923.199999999999</v>
      </c>
      <c r="F257" s="4" t="str">
        <f t="shared" si="11"/>
        <v>Large (&lt;20k)</v>
      </c>
    </row>
    <row r="258" spans="2:6" x14ac:dyDescent="0.2">
      <c r="B258" s="49" t="str" vm="184">
        <f>CUBEMEMBER("ThisWorkbookDataModel","[TPData].[Client].&amp;[Client 402]")</f>
        <v>Client 402</v>
      </c>
      <c r="C258" s="49" t="str" vm="1003">
        <f>CUBEMEMBER("ThisWorkbookDataModel",{"[TPData].[Client].&amp;[Client 402]","[TPData].[Close Month].&amp;[2019-03-01T00:00:00]"})</f>
        <v>3/1/2019</v>
      </c>
      <c r="D258" s="49" t="str">
        <f>INDEX(TPData[Sales Rep],MATCH('Deal Size Analysis'!$B258,TPData[Client],FALSE))</f>
        <v>Rep 12</v>
      </c>
      <c r="E258" s="4" vm="1385">
        <f t="shared" si="10"/>
        <v>3337.2</v>
      </c>
      <c r="F258" s="4" t="str">
        <f t="shared" si="11"/>
        <v>Small (&lt;5k)</v>
      </c>
    </row>
    <row r="259" spans="2:6" x14ac:dyDescent="0.2">
      <c r="B259" s="49" t="str" vm="566">
        <f>CUBEMEMBER("ThisWorkbookDataModel","[TPData].[Client].&amp;[Client 403]")</f>
        <v>Client 403</v>
      </c>
      <c r="C259" s="49" t="str" vm="372">
        <f>CUBEMEMBER("ThisWorkbookDataModel",{"[TPData].[Client].&amp;[Client 403]","[TPData].[Close Month].&amp;[2019-04-01T00:00:00]"})</f>
        <v>4/1/2019</v>
      </c>
      <c r="D259" s="49" t="str">
        <f>INDEX(TPData[Sales Rep],MATCH('Deal Size Analysis'!$B259,TPData[Client],FALSE))</f>
        <v>Rep 12</v>
      </c>
      <c r="E259" s="4" vm="1490">
        <f t="shared" si="10"/>
        <v>6220.8</v>
      </c>
      <c r="F259" s="4" t="str">
        <f t="shared" si="11"/>
        <v>Medium (&lt;10k)</v>
      </c>
    </row>
    <row r="260" spans="2:6" x14ac:dyDescent="0.2">
      <c r="B260" s="49" t="str" vm="183">
        <f>CUBEMEMBER("ThisWorkbookDataModel","[TPData].[Client].&amp;[Client 404]")</f>
        <v>Client 404</v>
      </c>
      <c r="C260" s="49" t="str" vm="916">
        <f>CUBEMEMBER("ThisWorkbookDataModel",{"[TPData].[Client].&amp;[Client 404]","[TPData].[Close Month].&amp;[2019-04-01T00:00:00]"})</f>
        <v>4/1/2019</v>
      </c>
      <c r="D260" s="49" t="str">
        <f>INDEX(TPData[Sales Rep],MATCH('Deal Size Analysis'!$B260,TPData[Client],FALSE))</f>
        <v>Rep 12</v>
      </c>
      <c r="E260" s="4" vm="1331">
        <f t="shared" si="10"/>
        <v>14541.12</v>
      </c>
      <c r="F260" s="4" t="str">
        <f t="shared" si="11"/>
        <v>Large (&lt;20k)</v>
      </c>
    </row>
    <row r="261" spans="2:6" x14ac:dyDescent="0.2">
      <c r="B261" s="49" t="str" vm="830">
        <f>CUBEMEMBER("ThisWorkbookDataModel","[TPData].[Client].&amp;[Client 405]")</f>
        <v>Client 405</v>
      </c>
      <c r="C261" s="49" t="str" vm="565">
        <f>CUBEMEMBER("ThisWorkbookDataModel",{"[TPData].[Client].&amp;[Client 405]","[TPData].[Close Month].&amp;[2019-04-01T00:00:00]"})</f>
        <v>4/1/2019</v>
      </c>
      <c r="D261" s="49" t="str">
        <f>INDEX(TPData[Sales Rep],MATCH('Deal Size Analysis'!$B261,TPData[Client],FALSE))</f>
        <v>Rep 12</v>
      </c>
      <c r="E261" s="4" vm="1110">
        <f t="shared" ref="E261:E324" si="12">CUBEVALUE("ThisWorkbookDataModel",$C261,E$4)</f>
        <v>7416</v>
      </c>
      <c r="F261" s="4" t="str">
        <f t="shared" si="11"/>
        <v>Medium (&lt;10k)</v>
      </c>
    </row>
    <row r="262" spans="2:6" x14ac:dyDescent="0.2">
      <c r="B262" s="49" t="str" vm="182">
        <f>CUBEMEMBER("ThisWorkbookDataModel","[TPData].[Client].&amp;[Client 406]")</f>
        <v>Client 406</v>
      </c>
      <c r="C262" s="49" t="str" vm="371">
        <f>CUBEMEMBER("ThisWorkbookDataModel",{"[TPData].[Client].&amp;[Client 406]","[TPData].[Close Month].&amp;[2019-04-01T00:00:00]"})</f>
        <v>4/1/2019</v>
      </c>
      <c r="D262" s="49" t="str">
        <f>INDEX(TPData[Sales Rep],MATCH('Deal Size Analysis'!$B262,TPData[Client],FALSE))</f>
        <v>Rep 12</v>
      </c>
      <c r="E262" s="4" vm="1491">
        <f t="shared" si="12"/>
        <v>1746</v>
      </c>
      <c r="F262" s="4" t="str">
        <f t="shared" ref="F262:F325" si="13">IF(E262&lt;=5000,$H$9,IF((E262&lt;10000),$H$10,IF((E262&lt;20000),$H$11,IF((E262&gt;=20000),$H$12))))</f>
        <v>Small (&lt;5k)</v>
      </c>
    </row>
    <row r="263" spans="2:6" x14ac:dyDescent="0.2">
      <c r="B263" s="49" t="str" vm="743">
        <f>CUBEMEMBER("ThisWorkbookDataModel","[TPData].[Client].&amp;[Client 407]")</f>
        <v>Client 407</v>
      </c>
      <c r="C263" s="49" t="str" vm="1002">
        <f>CUBEMEMBER("ThisWorkbookDataModel",{"[TPData].[Client].&amp;[Client 407]","[TPData].[Close Month].&amp;[2019-04-01T00:00:00]"})</f>
        <v>4/1/2019</v>
      </c>
      <c r="D263" s="49" t="str">
        <f>INDEX(TPData[Sales Rep],MATCH('Deal Size Analysis'!$B263,TPData[Client],FALSE))</f>
        <v>Rep 12</v>
      </c>
      <c r="E263" s="4" vm="1384">
        <f t="shared" si="12"/>
        <v>3564</v>
      </c>
      <c r="F263" s="4" t="str">
        <f t="shared" si="13"/>
        <v>Small (&lt;5k)</v>
      </c>
    </row>
    <row r="264" spans="2:6" x14ac:dyDescent="0.2">
      <c r="B264" s="49" t="str" vm="181">
        <f>CUBEMEMBER("ThisWorkbookDataModel","[TPData].[Client].&amp;[Client 408]")</f>
        <v>Client 408</v>
      </c>
      <c r="C264" s="49" t="str" vm="564">
        <f>CUBEMEMBER("ThisWorkbookDataModel",{"[TPData].[Client].&amp;[Client 408]","[TPData].[Close Month].&amp;[2019-04-01T00:00:00]"})</f>
        <v>4/1/2019</v>
      </c>
      <c r="D264" s="49" t="str">
        <f>INDEX(TPData[Sales Rep],MATCH('Deal Size Analysis'!$B264,TPData[Client],FALSE))</f>
        <v>Rep 12</v>
      </c>
      <c r="E264" s="4" vm="1109">
        <f t="shared" si="12"/>
        <v>4354.5600000000004</v>
      </c>
      <c r="F264" s="4" t="str">
        <f t="shared" si="13"/>
        <v>Small (&lt;5k)</v>
      </c>
    </row>
    <row r="265" spans="2:6" x14ac:dyDescent="0.2">
      <c r="B265" s="49" t="str" vm="370">
        <f>CUBEMEMBER("ThisWorkbookDataModel","[TPData].[Client].&amp;[Client 409]")</f>
        <v>Client 409</v>
      </c>
      <c r="C265" s="49" t="str" vm="915">
        <f>CUBEMEMBER("ThisWorkbookDataModel",{"[TPData].[Client].&amp;[Client 409]","[TPData].[Close Month].&amp;[2019-04-01T00:00:00]"})</f>
        <v>4/1/2019</v>
      </c>
      <c r="D265" s="49" t="str">
        <f>INDEX(TPData[Sales Rep],MATCH('Deal Size Analysis'!$B265,TPData[Client],FALSE))</f>
        <v>Rep 12</v>
      </c>
      <c r="E265" s="4" vm="1330">
        <f t="shared" si="12"/>
        <v>15696.000000000002</v>
      </c>
      <c r="F265" s="4" t="str">
        <f t="shared" si="13"/>
        <v>Large (&lt;20k)</v>
      </c>
    </row>
    <row r="266" spans="2:6" x14ac:dyDescent="0.2">
      <c r="B266" s="49" t="str" vm="180">
        <f>CUBEMEMBER("ThisWorkbookDataModel","[TPData].[Client].&amp;[Client 410]")</f>
        <v>Client 410</v>
      </c>
      <c r="C266" s="49" t="str" vm="829">
        <f>CUBEMEMBER("ThisWorkbookDataModel",{"[TPData].[Client].&amp;[Client 410]","[TPData].[Close Month].&amp;[2019-04-01T00:00:00]"})</f>
        <v>4/1/2019</v>
      </c>
      <c r="D266" s="49" t="str">
        <f>INDEX(TPData[Sales Rep],MATCH('Deal Size Analysis'!$B266,TPData[Client],FALSE))</f>
        <v>Rep 12</v>
      </c>
      <c r="E266" s="4" vm="1264">
        <f t="shared" si="12"/>
        <v>3999.6</v>
      </c>
      <c r="F266" s="4" t="str">
        <f t="shared" si="13"/>
        <v>Small (&lt;5k)</v>
      </c>
    </row>
    <row r="267" spans="2:6" x14ac:dyDescent="0.2">
      <c r="B267" s="49" t="str" vm="563">
        <f>CUBEMEMBER("ThisWorkbookDataModel","[TPData].[Client].&amp;[Client 411]")</f>
        <v>Client 411</v>
      </c>
      <c r="C267" s="49" t="str" vm="369">
        <f>CUBEMEMBER("ThisWorkbookDataModel",{"[TPData].[Client].&amp;[Client 411]","[TPData].[Close Month].&amp;[2019-05-01T00:00:00]"})</f>
        <v>5/1/2019</v>
      </c>
      <c r="D267" s="49" t="str">
        <f>INDEX(TPData[Sales Rep],MATCH('Deal Size Analysis'!$B267,TPData[Client],FALSE))</f>
        <v>Rep 12</v>
      </c>
      <c r="E267" s="4" vm="1492">
        <f t="shared" si="12"/>
        <v>6048</v>
      </c>
      <c r="F267" s="4" t="str">
        <f t="shared" si="13"/>
        <v>Medium (&lt;10k)</v>
      </c>
    </row>
    <row r="268" spans="2:6" x14ac:dyDescent="0.2">
      <c r="B268" s="49" t="str" vm="179">
        <f>CUBEMEMBER("ThisWorkbookDataModel","[TPData].[Client].&amp;[Client 412]")</f>
        <v>Client 412</v>
      </c>
      <c r="C268" s="49" t="str" vm="742">
        <f>CUBEMEMBER("ThisWorkbookDataModel",{"[TPData].[Client].&amp;[Client 412]","[TPData].[Close Month].&amp;[2019-05-01T00:00:00]"})</f>
        <v>5/1/2019</v>
      </c>
      <c r="D268" s="49" t="str">
        <f>INDEX(TPData[Sales Rep],MATCH('Deal Size Analysis'!$B268,TPData[Client],FALSE))</f>
        <v>Rep 12</v>
      </c>
      <c r="E268" s="4" vm="1214">
        <f t="shared" si="12"/>
        <v>10785.6</v>
      </c>
      <c r="F268" s="4" t="str">
        <f t="shared" si="13"/>
        <v>Large (&lt;20k)</v>
      </c>
    </row>
    <row r="269" spans="2:6" x14ac:dyDescent="0.2">
      <c r="B269" s="49" t="str" vm="1001">
        <f>CUBEMEMBER("ThisWorkbookDataModel","[TPData].[Client].&amp;[Client 413]")</f>
        <v>Client 413</v>
      </c>
      <c r="C269" s="49" t="str" vm="562">
        <f>CUBEMEMBER("ThisWorkbookDataModel",{"[TPData].[Client].&amp;[Client 413]","[TPData].[Close Month].&amp;[2019-05-01T00:00:00]"})</f>
        <v>5/1/2019</v>
      </c>
      <c r="D269" s="49" t="str">
        <f>INDEX(TPData[Sales Rep],MATCH('Deal Size Analysis'!$B269,TPData[Client],FALSE))</f>
        <v>Rep 12</v>
      </c>
      <c r="E269" s="4" vm="1108">
        <f t="shared" si="12"/>
        <v>5042.5200000000004</v>
      </c>
      <c r="F269" s="4" t="str">
        <f t="shared" si="13"/>
        <v>Medium (&lt;10k)</v>
      </c>
    </row>
    <row r="270" spans="2:6" x14ac:dyDescent="0.2">
      <c r="B270" s="49" t="str" vm="178">
        <f>CUBEMEMBER("ThisWorkbookDataModel","[TPData].[Client].&amp;[Client 414]")</f>
        <v>Client 414</v>
      </c>
      <c r="C270" s="49" t="str" vm="368">
        <f>CUBEMEMBER("ThisWorkbookDataModel",{"[TPData].[Client].&amp;[Client 414]","[TPData].[Close Month].&amp;[2019-05-01T00:00:00]"})</f>
        <v>5/1/2019</v>
      </c>
      <c r="D270" s="49" t="str">
        <f>INDEX(TPData[Sales Rep],MATCH('Deal Size Analysis'!$B270,TPData[Client],FALSE))</f>
        <v>Rep 12</v>
      </c>
      <c r="E270" s="4" vm="1493">
        <f t="shared" si="12"/>
        <v>1540.8</v>
      </c>
      <c r="F270" s="4" t="str">
        <f t="shared" si="13"/>
        <v>Small (&lt;5k)</v>
      </c>
    </row>
    <row r="271" spans="2:6" x14ac:dyDescent="0.2">
      <c r="B271" s="49" t="str" vm="914">
        <f>CUBEMEMBER("ThisWorkbookDataModel","[TPData].[Client].&amp;[Client 415]")</f>
        <v>Client 415</v>
      </c>
      <c r="C271" s="49" t="str" vm="828">
        <f>CUBEMEMBER("ThisWorkbookDataModel",{"[TPData].[Client].&amp;[Client 415]","[TPData].[Close Month].&amp;[2019-05-01T00:00:00]"})</f>
        <v>5/1/2019</v>
      </c>
      <c r="D271" s="49" t="str">
        <f>INDEX(TPData[Sales Rep],MATCH('Deal Size Analysis'!$B271,TPData[Client],FALSE))</f>
        <v>Rep 12</v>
      </c>
      <c r="E271" s="4" vm="1263">
        <f t="shared" si="12"/>
        <v>1382.3999999999999</v>
      </c>
      <c r="F271" s="4" t="str">
        <f t="shared" si="13"/>
        <v>Small (&lt;5k)</v>
      </c>
    </row>
    <row r="272" spans="2:6" x14ac:dyDescent="0.2">
      <c r="B272" s="49" t="str" vm="177">
        <f>CUBEMEMBER("ThisWorkbookDataModel","[TPData].[Client].&amp;[Client 416]")</f>
        <v>Client 416</v>
      </c>
      <c r="C272" s="49" t="str" vm="561">
        <f>CUBEMEMBER("ThisWorkbookDataModel",{"[TPData].[Client].&amp;[Client 416]","[TPData].[Close Month].&amp;[2019-05-01T00:00:00]"})</f>
        <v>5/1/2019</v>
      </c>
      <c r="D272" s="49" t="str">
        <f>INDEX(TPData[Sales Rep],MATCH('Deal Size Analysis'!$B272,TPData[Client],FALSE))</f>
        <v>Rep 12</v>
      </c>
      <c r="E272" s="4" vm="1107">
        <f t="shared" si="12"/>
        <v>2246.4</v>
      </c>
      <c r="F272" s="4" t="str">
        <f t="shared" si="13"/>
        <v>Small (&lt;5k)</v>
      </c>
    </row>
    <row r="273" spans="2:6" x14ac:dyDescent="0.2">
      <c r="B273" s="49" t="str" vm="367">
        <f>CUBEMEMBER("ThisWorkbookDataModel","[TPData].[Client].&amp;[Client 418]")</f>
        <v>Client 418</v>
      </c>
      <c r="C273" s="49" t="str" vm="741">
        <f>CUBEMEMBER("ThisWorkbookDataModel",{"[TPData].[Client].&amp;[Client 418]","[TPData].[Close Month].&amp;[2018-07-01T00:00:00]"})</f>
        <v>7/1/2018</v>
      </c>
      <c r="D273" s="49" t="str">
        <f>INDEX(TPData[Sales Rep],MATCH('Deal Size Analysis'!$B273,TPData[Client],FALSE))</f>
        <v>Rep 39</v>
      </c>
      <c r="E273" s="4" vm="1213">
        <f t="shared" si="12"/>
        <v>2640</v>
      </c>
      <c r="F273" s="4" t="str">
        <f t="shared" si="13"/>
        <v>Small (&lt;5k)</v>
      </c>
    </row>
    <row r="274" spans="2:6" x14ac:dyDescent="0.2">
      <c r="B274" s="49" t="str" vm="176">
        <f>CUBEMEMBER("ThisWorkbookDataModel","[TPData].[Client].&amp;[Client 419]")</f>
        <v>Client 419</v>
      </c>
      <c r="C274" s="49" t="str" vm="1000">
        <f>CUBEMEMBER("ThisWorkbookDataModel",{"[TPData].[Client].&amp;[Client 419]","[TPData].[Close Month].&amp;[2018-07-01T00:00:00]"})</f>
        <v>7/1/2018</v>
      </c>
      <c r="D274" s="49" t="str">
        <f>INDEX(TPData[Sales Rep],MATCH('Deal Size Analysis'!$B274,TPData[Client],FALSE))</f>
        <v>Rep 39</v>
      </c>
      <c r="E274" s="4" vm="1383">
        <f t="shared" si="12"/>
        <v>17500</v>
      </c>
      <c r="F274" s="4" t="str">
        <f t="shared" si="13"/>
        <v>Large (&lt;20k)</v>
      </c>
    </row>
    <row r="275" spans="2:6" x14ac:dyDescent="0.2">
      <c r="B275" s="49" t="str" vm="560">
        <f>CUBEMEMBER("ThisWorkbookDataModel","[TPData].[Client].&amp;[Client 420]")</f>
        <v>Client 420</v>
      </c>
      <c r="C275" s="49" t="str" vm="366">
        <f>CUBEMEMBER("ThisWorkbookDataModel",{"[TPData].[Client].&amp;[Client 420]","[TPData].[Close Month].&amp;[2018-08-01T00:00:00]"})</f>
        <v>8/1/2018</v>
      </c>
      <c r="D275" s="49" t="str">
        <f>INDEX(TPData[Sales Rep],MATCH('Deal Size Analysis'!$B275,TPData[Client],FALSE))</f>
        <v>Rep 39</v>
      </c>
      <c r="E275" s="4" vm="1494">
        <f t="shared" si="12"/>
        <v>2730</v>
      </c>
      <c r="F275" s="4" t="str">
        <f t="shared" si="13"/>
        <v>Small (&lt;5k)</v>
      </c>
    </row>
    <row r="276" spans="2:6" x14ac:dyDescent="0.2">
      <c r="B276" s="49" t="str" vm="175">
        <f>CUBEMEMBER("ThisWorkbookDataModel","[TPData].[Client].&amp;[Client 421]")</f>
        <v>Client 421</v>
      </c>
      <c r="C276" s="49" t="str" vm="913">
        <f>CUBEMEMBER("ThisWorkbookDataModel",{"[TPData].[Client].&amp;[Client 421]","[TPData].[Close Month].&amp;[2018-08-01T00:00:00]"})</f>
        <v>8/1/2018</v>
      </c>
      <c r="D276" s="49" t="str">
        <f>INDEX(TPData[Sales Rep],MATCH('Deal Size Analysis'!$B276,TPData[Client],FALSE))</f>
        <v>Rep 39</v>
      </c>
      <c r="E276" s="4" vm="1358">
        <f t="shared" si="12"/>
        <v>3000</v>
      </c>
      <c r="F276" s="4" t="str">
        <f t="shared" si="13"/>
        <v>Small (&lt;5k)</v>
      </c>
    </row>
    <row r="277" spans="2:6" x14ac:dyDescent="0.2">
      <c r="B277" s="49" t="str" vm="827">
        <f>CUBEMEMBER("ThisWorkbookDataModel","[TPData].[Client].&amp;[Client 422]")</f>
        <v>Client 422</v>
      </c>
      <c r="C277" s="49" t="str" vm="559">
        <f>CUBEMEMBER("ThisWorkbookDataModel",{"[TPData].[Client].&amp;[Client 422]","[TPData].[Close Month].&amp;[2018-08-01T00:00:00]"})</f>
        <v>8/1/2018</v>
      </c>
      <c r="D277" s="49" t="str">
        <f>INDEX(TPData[Sales Rep],MATCH('Deal Size Analysis'!$B277,TPData[Client],FALSE))</f>
        <v>Rep 39</v>
      </c>
      <c r="E277" s="4" vm="1157">
        <f t="shared" si="12"/>
        <v>2592</v>
      </c>
      <c r="F277" s="4" t="str">
        <f t="shared" si="13"/>
        <v>Small (&lt;5k)</v>
      </c>
    </row>
    <row r="278" spans="2:6" x14ac:dyDescent="0.2">
      <c r="B278" s="49" t="str" vm="174">
        <f>CUBEMEMBER("ThisWorkbookDataModel","[TPData].[Client].&amp;[Client 423]")</f>
        <v>Client 423</v>
      </c>
      <c r="C278" s="49" t="str" vm="365">
        <f>CUBEMEMBER("ThisWorkbookDataModel",{"[TPData].[Client].&amp;[Client 423]","[TPData].[Close Month].&amp;[2018-08-01T00:00:00]"})</f>
        <v>8/1/2018</v>
      </c>
      <c r="D278" s="49" t="str">
        <f>INDEX(TPData[Sales Rep],MATCH('Deal Size Analysis'!$B278,TPData[Client],FALSE))</f>
        <v>Rep 39</v>
      </c>
      <c r="E278" s="4" vm="1495">
        <f t="shared" si="12"/>
        <v>1365</v>
      </c>
      <c r="F278" s="4" t="str">
        <f t="shared" si="13"/>
        <v>Small (&lt;5k)</v>
      </c>
    </row>
    <row r="279" spans="2:6" x14ac:dyDescent="0.2">
      <c r="B279" s="49" t="str" vm="740">
        <f>CUBEMEMBER("ThisWorkbookDataModel","[TPData].[Client].&amp;[Client 424]")</f>
        <v>Client 424</v>
      </c>
      <c r="C279" s="49" t="str" vm="999">
        <f>CUBEMEMBER("ThisWorkbookDataModel",{"[TPData].[Client].&amp;[Client 424]","[TPData].[Close Month].&amp;[2018-08-01T00:00:00]"})</f>
        <v>8/1/2018</v>
      </c>
      <c r="D279" s="49" t="str">
        <f>INDEX(TPData[Sales Rep],MATCH('Deal Size Analysis'!$B279,TPData[Client],FALSE))</f>
        <v>Rep 39</v>
      </c>
      <c r="E279" s="4" vm="1382">
        <f t="shared" si="12"/>
        <v>3528</v>
      </c>
      <c r="F279" s="4" t="str">
        <f t="shared" si="13"/>
        <v>Small (&lt;5k)</v>
      </c>
    </row>
    <row r="280" spans="2:6" x14ac:dyDescent="0.2">
      <c r="B280" s="49" t="str" vm="173">
        <f>CUBEMEMBER("ThisWorkbookDataModel","[TPData].[Client].&amp;[Client 425]")</f>
        <v>Client 425</v>
      </c>
      <c r="C280" s="49" t="str" vm="558">
        <f>CUBEMEMBER("ThisWorkbookDataModel",{"[TPData].[Client].&amp;[Client 425]","[TPData].[Close Month].&amp;[2018-09-01T00:00:00]"})</f>
        <v>9/1/2018</v>
      </c>
      <c r="D280" s="49" t="str">
        <f>INDEX(TPData[Sales Rep],MATCH('Deal Size Analysis'!$B280,TPData[Client],FALSE))</f>
        <v>Rep 39</v>
      </c>
      <c r="E280" s="4" vm="1106">
        <f t="shared" si="12"/>
        <v>1890</v>
      </c>
      <c r="F280" s="4" t="str">
        <f t="shared" si="13"/>
        <v>Small (&lt;5k)</v>
      </c>
    </row>
    <row r="281" spans="2:6" x14ac:dyDescent="0.2">
      <c r="B281" s="49" t="str" vm="364">
        <f>CUBEMEMBER("ThisWorkbookDataModel","[TPData].[Client].&amp;[Client 426]")</f>
        <v>Client 426</v>
      </c>
      <c r="C281" s="49" t="str" vm="912">
        <f>CUBEMEMBER("ThisWorkbookDataModel",{"[TPData].[Client].&amp;[Client 426]","[TPData].[Close Month].&amp;[2018-10-01T00:00:00]"})</f>
        <v>10/1/2018</v>
      </c>
      <c r="D281" s="49" t="str">
        <f>INDEX(TPData[Sales Rep],MATCH('Deal Size Analysis'!$B281,TPData[Client],FALSE))</f>
        <v>Rep 39</v>
      </c>
      <c r="E281" s="4" vm="1329">
        <f t="shared" si="12"/>
        <v>17100</v>
      </c>
      <c r="F281" s="4" t="str">
        <f t="shared" si="13"/>
        <v>Large (&lt;20k)</v>
      </c>
    </row>
    <row r="282" spans="2:6" x14ac:dyDescent="0.2">
      <c r="B282" s="49" t="str" vm="172">
        <f>CUBEMEMBER("ThisWorkbookDataModel","[TPData].[Client].&amp;[Client 427]")</f>
        <v>Client 427</v>
      </c>
      <c r="C282" s="49" t="str" vm="826">
        <f>CUBEMEMBER("ThisWorkbookDataModel",{"[TPData].[Client].&amp;[Client 427]","[TPData].[Close Month].&amp;[2018-10-01T00:00:00]"})</f>
        <v>10/1/2018</v>
      </c>
      <c r="D282" s="49" t="str">
        <f>INDEX(TPData[Sales Rep],MATCH('Deal Size Analysis'!$B282,TPData[Client],FALSE))</f>
        <v>Rep 39</v>
      </c>
      <c r="E282" s="4" vm="1262">
        <f t="shared" si="12"/>
        <v>6240</v>
      </c>
      <c r="F282" s="4" t="str">
        <f t="shared" si="13"/>
        <v>Medium (&lt;10k)</v>
      </c>
    </row>
    <row r="283" spans="2:6" x14ac:dyDescent="0.2">
      <c r="B283" s="49" t="str" vm="557">
        <f>CUBEMEMBER("ThisWorkbookDataModel","[TPData].[Client].&amp;[Client 428]")</f>
        <v>Client 428</v>
      </c>
      <c r="C283" s="49" t="str" vm="363">
        <f>CUBEMEMBER("ThisWorkbookDataModel",{"[TPData].[Client].&amp;[Client 428]","[TPData].[Close Month].&amp;[2018-10-01T00:00:00]"})</f>
        <v>10/1/2018</v>
      </c>
      <c r="D283" s="49" t="str">
        <f>INDEX(TPData[Sales Rep],MATCH('Deal Size Analysis'!$B283,TPData[Client],FALSE))</f>
        <v>Rep 39</v>
      </c>
      <c r="E283" s="4" vm="1496">
        <f t="shared" si="12"/>
        <v>1530</v>
      </c>
      <c r="F283" s="4" t="str">
        <f t="shared" si="13"/>
        <v>Small (&lt;5k)</v>
      </c>
    </row>
    <row r="284" spans="2:6" x14ac:dyDescent="0.2">
      <c r="B284" s="49" t="str" vm="171">
        <f>CUBEMEMBER("ThisWorkbookDataModel","[TPData].[Client].&amp;[Client 429]")</f>
        <v>Client 429</v>
      </c>
      <c r="C284" s="49" t="str" vm="739">
        <f>CUBEMEMBER("ThisWorkbookDataModel",{"[TPData].[Client].&amp;[Client 429]","[TPData].[Close Month].&amp;[2018-10-01T00:00:00]"})</f>
        <v>10/1/2018</v>
      </c>
      <c r="D284" s="49" t="str">
        <f>INDEX(TPData[Sales Rep],MATCH('Deal Size Analysis'!$B284,TPData[Client],FALSE))</f>
        <v>Rep 39</v>
      </c>
      <c r="E284" s="4" vm="1212">
        <f t="shared" si="12"/>
        <v>7344</v>
      </c>
      <c r="F284" s="4" t="str">
        <f t="shared" si="13"/>
        <v>Medium (&lt;10k)</v>
      </c>
    </row>
    <row r="285" spans="2:6" x14ac:dyDescent="0.2">
      <c r="B285" s="49" t="str" vm="998">
        <f>CUBEMEMBER("ThisWorkbookDataModel","[TPData].[Client].&amp;[Client 430]")</f>
        <v>Client 430</v>
      </c>
      <c r="C285" s="49" t="str" vm="556">
        <f>CUBEMEMBER("ThisWorkbookDataModel",{"[TPData].[Client].&amp;[Client 430]","[TPData].[Close Month].&amp;[2018-10-01T00:00:00]"})</f>
        <v>10/1/2018</v>
      </c>
      <c r="D285" s="49" t="str">
        <f>INDEX(TPData[Sales Rep],MATCH('Deal Size Analysis'!$B285,TPData[Client],FALSE))</f>
        <v>Rep 39</v>
      </c>
      <c r="E285" s="4" vm="1105">
        <f t="shared" si="12"/>
        <v>3528</v>
      </c>
      <c r="F285" s="4" t="str">
        <f t="shared" si="13"/>
        <v>Small (&lt;5k)</v>
      </c>
    </row>
    <row r="286" spans="2:6" x14ac:dyDescent="0.2">
      <c r="B286" s="49" t="str" vm="170">
        <f>CUBEMEMBER("ThisWorkbookDataModel","[TPData].[Client].&amp;[Client 431]")</f>
        <v>Client 431</v>
      </c>
      <c r="C286" s="49" t="str" vm="362">
        <f>CUBEMEMBER("ThisWorkbookDataModel",{"[TPData].[Client].&amp;[Client 431]","[TPData].[Close Month].&amp;[2018-11-01T00:00:00]"})</f>
        <v>11/1/2018</v>
      </c>
      <c r="D286" s="49" t="str">
        <f>INDEX(TPData[Sales Rep],MATCH('Deal Size Analysis'!$B286,TPData[Client],FALSE))</f>
        <v>Rep 39</v>
      </c>
      <c r="E286" s="4" vm="1497">
        <f t="shared" si="12"/>
        <v>6974.9999999999991</v>
      </c>
      <c r="F286" s="4" t="str">
        <f t="shared" si="13"/>
        <v>Medium (&lt;10k)</v>
      </c>
    </row>
    <row r="287" spans="2:6" x14ac:dyDescent="0.2">
      <c r="B287" s="49" t="str" vm="911">
        <f>CUBEMEMBER("ThisWorkbookDataModel","[TPData].[Client].&amp;[Client 432]")</f>
        <v>Client 432</v>
      </c>
      <c r="C287" s="49" t="str" vm="825">
        <f>CUBEMEMBER("ThisWorkbookDataModel",{"[TPData].[Client].&amp;[Client 432]","[TPData].[Close Month].&amp;[2018-11-01T00:00:00]"})</f>
        <v>11/1/2018</v>
      </c>
      <c r="D287" s="49" t="str">
        <f>INDEX(TPData[Sales Rep],MATCH('Deal Size Analysis'!$B287,TPData[Client],FALSE))</f>
        <v>Rep 39</v>
      </c>
      <c r="E287" s="4" vm="1261">
        <f t="shared" si="12"/>
        <v>7128</v>
      </c>
      <c r="F287" s="4" t="str">
        <f t="shared" si="13"/>
        <v>Medium (&lt;10k)</v>
      </c>
    </row>
    <row r="288" spans="2:6" x14ac:dyDescent="0.2">
      <c r="B288" s="49" t="str" vm="169">
        <f>CUBEMEMBER("ThisWorkbookDataModel","[TPData].[Client].&amp;[Client 433]")</f>
        <v>Client 433</v>
      </c>
      <c r="C288" s="49" t="str" vm="555">
        <f>CUBEMEMBER("ThisWorkbookDataModel",{"[TPData].[Client].&amp;[Client 433]","[TPData].[Close Month].&amp;[2018-12-01T00:00:00]"})</f>
        <v>12/1/2018</v>
      </c>
      <c r="D288" s="49" t="str">
        <f>INDEX(TPData[Sales Rep],MATCH('Deal Size Analysis'!$B288,TPData[Client],FALSE))</f>
        <v>Rep 39</v>
      </c>
      <c r="E288" s="4" vm="1104">
        <f t="shared" si="12"/>
        <v>5022</v>
      </c>
      <c r="F288" s="4" t="str">
        <f t="shared" si="13"/>
        <v>Medium (&lt;10k)</v>
      </c>
    </row>
    <row r="289" spans="2:6" x14ac:dyDescent="0.2">
      <c r="B289" s="49" t="str" vm="361">
        <f>CUBEMEMBER("ThisWorkbookDataModel","[TPData].[Client].&amp;[Client 434]")</f>
        <v>Client 434</v>
      </c>
      <c r="C289" s="49" t="str" vm="738">
        <f>CUBEMEMBER("ThisWorkbookDataModel",{"[TPData].[Client].&amp;[Client 434]","[TPData].[Close Month].&amp;[2018-12-01T00:00:00]"})</f>
        <v>12/1/2018</v>
      </c>
      <c r="D289" s="49" t="str">
        <f>INDEX(TPData[Sales Rep],MATCH('Deal Size Analysis'!$B289,TPData[Client],FALSE))</f>
        <v>Rep 39</v>
      </c>
      <c r="E289" s="4" vm="1211">
        <f t="shared" si="12"/>
        <v>2760</v>
      </c>
      <c r="F289" s="4" t="str">
        <f t="shared" si="13"/>
        <v>Small (&lt;5k)</v>
      </c>
    </row>
    <row r="290" spans="2:6" x14ac:dyDescent="0.2">
      <c r="B290" s="49" t="str" vm="168">
        <f>CUBEMEMBER("ThisWorkbookDataModel","[TPData].[Client].&amp;[Client 435]")</f>
        <v>Client 435</v>
      </c>
      <c r="C290" s="49" t="str" vm="997">
        <f>CUBEMEMBER("ThisWorkbookDataModel",{"[TPData].[Client].&amp;[Client 435]","[TPData].[Close Month].&amp;[2018-12-01T00:00:00]"})</f>
        <v>12/1/2018</v>
      </c>
      <c r="D290" s="49" t="str">
        <f>INDEX(TPData[Sales Rep],MATCH('Deal Size Analysis'!$B290,TPData[Client],FALSE))</f>
        <v>Rep 39</v>
      </c>
      <c r="E290" s="4" vm="1381">
        <f t="shared" si="12"/>
        <v>8640</v>
      </c>
      <c r="F290" s="4" t="str">
        <f t="shared" si="13"/>
        <v>Medium (&lt;10k)</v>
      </c>
    </row>
    <row r="291" spans="2:6" x14ac:dyDescent="0.2">
      <c r="B291" s="49" t="str" vm="554">
        <f>CUBEMEMBER("ThisWorkbookDataModel","[TPData].[Client].&amp;[Client 436]")</f>
        <v>Client 436</v>
      </c>
      <c r="C291" s="49" t="str" vm="360">
        <f>CUBEMEMBER("ThisWorkbookDataModel",{"[TPData].[Client].&amp;[Client 436]","[TPData].[Close Month].&amp;[2018-12-01T00:00:00]"})</f>
        <v>12/1/2018</v>
      </c>
      <c r="D291" s="49" t="str">
        <f>INDEX(TPData[Sales Rep],MATCH('Deal Size Analysis'!$B291,TPData[Client],FALSE))</f>
        <v>Rep 39</v>
      </c>
      <c r="E291" s="4" vm="1498">
        <f t="shared" si="12"/>
        <v>3564</v>
      </c>
      <c r="F291" s="4" t="str">
        <f t="shared" si="13"/>
        <v>Small (&lt;5k)</v>
      </c>
    </row>
    <row r="292" spans="2:6" x14ac:dyDescent="0.2">
      <c r="B292" s="49" t="str" vm="167">
        <f>CUBEMEMBER("ThisWorkbookDataModel","[TPData].[Client].&amp;[Client 437]")</f>
        <v>Client 437</v>
      </c>
      <c r="C292" s="49" t="str" vm="910">
        <f>CUBEMEMBER("ThisWorkbookDataModel",{"[TPData].[Client].&amp;[Client 437]","[TPData].[Close Month].&amp;[2018-12-01T00:00:00]"})</f>
        <v>12/1/2018</v>
      </c>
      <c r="D292" s="49" t="str">
        <f>INDEX(TPData[Sales Rep],MATCH('Deal Size Analysis'!$B292,TPData[Client],FALSE))</f>
        <v>Rep 39</v>
      </c>
      <c r="E292" s="4" vm="1328">
        <f t="shared" si="12"/>
        <v>6360</v>
      </c>
      <c r="F292" s="4" t="str">
        <f t="shared" si="13"/>
        <v>Medium (&lt;10k)</v>
      </c>
    </row>
    <row r="293" spans="2:6" x14ac:dyDescent="0.2">
      <c r="B293" s="49" t="str" vm="824">
        <f>CUBEMEMBER("ThisWorkbookDataModel","[TPData].[Client].&amp;[Client 438]")</f>
        <v>Client 438</v>
      </c>
      <c r="C293" s="49" t="str" vm="553">
        <f>CUBEMEMBER("ThisWorkbookDataModel",{"[TPData].[Client].&amp;[Client 438]","[TPData].[Close Month].&amp;[2018-12-01T00:00:00]"})</f>
        <v>12/1/2018</v>
      </c>
      <c r="D293" s="49" t="str">
        <f>INDEX(TPData[Sales Rep],MATCH('Deal Size Analysis'!$B293,TPData[Client],FALSE))</f>
        <v>Rep 39</v>
      </c>
      <c r="E293" s="4" vm="1306">
        <f t="shared" si="12"/>
        <v>4704</v>
      </c>
      <c r="F293" s="4" t="str">
        <f t="shared" si="13"/>
        <v>Small (&lt;5k)</v>
      </c>
    </row>
    <row r="294" spans="2:6" x14ac:dyDescent="0.2">
      <c r="B294" s="49" t="str" vm="166">
        <f>CUBEMEMBER("ThisWorkbookDataModel","[TPData].[Client].&amp;[Client 439]")</f>
        <v>Client 439</v>
      </c>
      <c r="C294" s="49" t="str" vm="359">
        <f>CUBEMEMBER("ThisWorkbookDataModel",{"[TPData].[Client].&amp;[Client 439]","[TPData].[Close Month].&amp;[2018-12-01T00:00:00]"})</f>
        <v>12/1/2018</v>
      </c>
      <c r="D294" s="49" t="str">
        <f>INDEX(TPData[Sales Rep],MATCH('Deal Size Analysis'!$B294,TPData[Client],FALSE))</f>
        <v>Rep 39</v>
      </c>
      <c r="E294" s="4" vm="1499">
        <f t="shared" si="12"/>
        <v>5184</v>
      </c>
      <c r="F294" s="4" t="str">
        <f t="shared" si="13"/>
        <v>Medium (&lt;10k)</v>
      </c>
    </row>
    <row r="295" spans="2:6" x14ac:dyDescent="0.2">
      <c r="B295" s="49" t="str" vm="737">
        <f>CUBEMEMBER("ThisWorkbookDataModel","[TPData].[Client].&amp;[Client 44]")</f>
        <v>Client 44</v>
      </c>
      <c r="C295" s="49" t="str" vm="996">
        <f>CUBEMEMBER("ThisWorkbookDataModel",{"[TPData].[Client].&amp;[Client 44]","[TPData].[Close Month].&amp;[2018-07-01T00:00:00]"})</f>
        <v>7/1/2018</v>
      </c>
      <c r="D295" s="49" t="str">
        <f>INDEX(TPData[Sales Rep],MATCH('Deal Size Analysis'!$B295,TPData[Client],FALSE))</f>
        <v>Rep 27</v>
      </c>
      <c r="E295" s="4" vm="1380">
        <f t="shared" si="12"/>
        <v>1943.8799999999999</v>
      </c>
      <c r="F295" s="4" t="str">
        <f t="shared" si="13"/>
        <v>Small (&lt;5k)</v>
      </c>
    </row>
    <row r="296" spans="2:6" x14ac:dyDescent="0.2">
      <c r="B296" s="49" t="str" vm="165">
        <f>CUBEMEMBER("ThisWorkbookDataModel","[TPData].[Client].&amp;[Client 440]")</f>
        <v>Client 440</v>
      </c>
      <c r="C296" s="49" t="str" vm="552">
        <f>CUBEMEMBER("ThisWorkbookDataModel",{"[TPData].[Client].&amp;[Client 440]","[TPData].[Close Month].&amp;[2018-12-01T00:00:00]"})</f>
        <v>12/1/2018</v>
      </c>
      <c r="D296" s="49" t="str">
        <f>INDEX(TPData[Sales Rep],MATCH('Deal Size Analysis'!$B296,TPData[Client],FALSE))</f>
        <v>Rep 39</v>
      </c>
      <c r="E296" s="4" vm="1103">
        <f t="shared" si="12"/>
        <v>2160</v>
      </c>
      <c r="F296" s="4" t="str">
        <f t="shared" si="13"/>
        <v>Small (&lt;5k)</v>
      </c>
    </row>
    <row r="297" spans="2:6" x14ac:dyDescent="0.2">
      <c r="B297" s="49" t="str" vm="358">
        <f>CUBEMEMBER("ThisWorkbookDataModel","[TPData].[Client].&amp;[Client 441]")</f>
        <v>Client 441</v>
      </c>
      <c r="C297" s="49" t="str" vm="909">
        <f>CUBEMEMBER("ThisWorkbookDataModel",{"[TPData].[Client].&amp;[Client 441]","[TPData].[Close Month].&amp;[2019-01-01T00:00:00]"})</f>
        <v>1/1/2019</v>
      </c>
      <c r="D297" s="49" t="str">
        <f>INDEX(TPData[Sales Rep],MATCH('Deal Size Analysis'!$B297,TPData[Client],FALSE))</f>
        <v>Rep 39</v>
      </c>
      <c r="E297" s="4" vm="1327">
        <f t="shared" si="12"/>
        <v>6540.0000000000009</v>
      </c>
      <c r="F297" s="4" t="str">
        <f t="shared" si="13"/>
        <v>Medium (&lt;10k)</v>
      </c>
    </row>
    <row r="298" spans="2:6" x14ac:dyDescent="0.2">
      <c r="B298" s="49" t="str" vm="164">
        <f>CUBEMEMBER("ThisWorkbookDataModel","[TPData].[Client].&amp;[Client 442]")</f>
        <v>Client 442</v>
      </c>
      <c r="C298" s="49" t="str" vm="823">
        <f>CUBEMEMBER("ThisWorkbookDataModel",{"[TPData].[Client].&amp;[Client 442]","[TPData].[Close Month].&amp;[2019-01-01T00:00:00]"})</f>
        <v>1/1/2019</v>
      </c>
      <c r="D298" s="49" t="str">
        <f>INDEX(TPData[Sales Rep],MATCH('Deal Size Analysis'!$B298,TPData[Client],FALSE))</f>
        <v>Rep 39</v>
      </c>
      <c r="E298" s="4" vm="1260">
        <f t="shared" si="12"/>
        <v>9720</v>
      </c>
      <c r="F298" s="4" t="str">
        <f t="shared" si="13"/>
        <v>Medium (&lt;10k)</v>
      </c>
    </row>
    <row r="299" spans="2:6" x14ac:dyDescent="0.2">
      <c r="B299" s="49" t="str" vm="551">
        <f>CUBEMEMBER("ThisWorkbookDataModel","[TPData].[Client].&amp;[Client 443]")</f>
        <v>Client 443</v>
      </c>
      <c r="C299" s="49" t="str" vm="357">
        <f>CUBEMEMBER("ThisWorkbookDataModel",{"[TPData].[Client].&amp;[Client 443]","[TPData].[Close Month].&amp;[2019-01-01T00:00:00]"})</f>
        <v>1/1/2019</v>
      </c>
      <c r="D299" s="49" t="str">
        <f>INDEX(TPData[Sales Rep],MATCH('Deal Size Analysis'!$B299,TPData[Client],FALSE))</f>
        <v>Rep 39</v>
      </c>
      <c r="E299" s="4" vm="1500">
        <f t="shared" si="12"/>
        <v>4860</v>
      </c>
      <c r="F299" s="4" t="str">
        <f t="shared" si="13"/>
        <v>Small (&lt;5k)</v>
      </c>
    </row>
    <row r="300" spans="2:6" x14ac:dyDescent="0.2">
      <c r="B300" s="49" t="str" vm="163">
        <f>CUBEMEMBER("ThisWorkbookDataModel","[TPData].[Client].&amp;[Client 444]")</f>
        <v>Client 444</v>
      </c>
      <c r="C300" s="49" t="str" vm="736">
        <f>CUBEMEMBER("ThisWorkbookDataModel",{"[TPData].[Client].&amp;[Client 444]","[TPData].[Close Month].&amp;[2019-02-01T00:00:00]"})</f>
        <v>2/1/2019</v>
      </c>
      <c r="D300" s="49" t="str">
        <f>INDEX(TPData[Sales Rep],MATCH('Deal Size Analysis'!$B300,TPData[Client],FALSE))</f>
        <v>Rep 39</v>
      </c>
      <c r="E300" s="4" vm="1210">
        <f t="shared" si="12"/>
        <v>13500</v>
      </c>
      <c r="F300" s="4" t="str">
        <f t="shared" si="13"/>
        <v>Large (&lt;20k)</v>
      </c>
    </row>
    <row r="301" spans="2:6" x14ac:dyDescent="0.2">
      <c r="B301" s="49" t="str" vm="995">
        <f>CUBEMEMBER("ThisWorkbookDataModel","[TPData].[Client].&amp;[Client 445]")</f>
        <v>Client 445</v>
      </c>
      <c r="C301" s="49" t="str" vm="550">
        <f>CUBEMEMBER("ThisWorkbookDataModel",{"[TPData].[Client].&amp;[Client 445]","[TPData].[Close Month].&amp;[2019-02-01T00:00:00]"})</f>
        <v>2/1/2019</v>
      </c>
      <c r="D301" s="49" t="str">
        <f>INDEX(TPData[Sales Rep],MATCH('Deal Size Analysis'!$B301,TPData[Client],FALSE))</f>
        <v>Rep 39</v>
      </c>
      <c r="E301" s="4" vm="1102">
        <f t="shared" si="12"/>
        <v>2280</v>
      </c>
      <c r="F301" s="4" t="str">
        <f t="shared" si="13"/>
        <v>Small (&lt;5k)</v>
      </c>
    </row>
    <row r="302" spans="2:6" x14ac:dyDescent="0.2">
      <c r="B302" s="49" t="str" vm="162">
        <f>CUBEMEMBER("ThisWorkbookDataModel","[TPData].[Client].&amp;[Client 446]")</f>
        <v>Client 446</v>
      </c>
      <c r="C302" s="49" t="str" vm="356">
        <f>CUBEMEMBER("ThisWorkbookDataModel",{"[TPData].[Client].&amp;[Client 446]","[TPData].[Close Month].&amp;[2019-02-01T00:00:00]"})</f>
        <v>2/1/2019</v>
      </c>
      <c r="D302" s="49" t="str">
        <f>INDEX(TPData[Sales Rep],MATCH('Deal Size Analysis'!$B302,TPData[Client],FALSE))</f>
        <v>Rep 39</v>
      </c>
      <c r="E302" s="4" vm="1501">
        <f t="shared" si="12"/>
        <v>928.2</v>
      </c>
      <c r="F302" s="4" t="str">
        <f t="shared" si="13"/>
        <v>Small (&lt;5k)</v>
      </c>
    </row>
    <row r="303" spans="2:6" x14ac:dyDescent="0.2">
      <c r="B303" s="49" t="str" vm="908">
        <f>CUBEMEMBER("ThisWorkbookDataModel","[TPData].[Client].&amp;[Client 447]")</f>
        <v>Client 447</v>
      </c>
      <c r="C303" s="49" t="str" vm="822">
        <f>CUBEMEMBER("ThisWorkbookDataModel",{"[TPData].[Client].&amp;[Client 447]","[TPData].[Close Month].&amp;[2019-02-01T00:00:00]"})</f>
        <v>2/1/2019</v>
      </c>
      <c r="D303" s="49" t="str">
        <f>INDEX(TPData[Sales Rep],MATCH('Deal Size Analysis'!$B303,TPData[Client],FALSE))</f>
        <v>Rep 39</v>
      </c>
      <c r="E303" s="4" vm="1259">
        <f t="shared" si="12"/>
        <v>5390.0783999999994</v>
      </c>
      <c r="F303" s="4" t="str">
        <f t="shared" si="13"/>
        <v>Medium (&lt;10k)</v>
      </c>
    </row>
    <row r="304" spans="2:6" x14ac:dyDescent="0.2">
      <c r="B304" s="49" t="str" vm="161">
        <f>CUBEMEMBER("ThisWorkbookDataModel","[TPData].[Client].&amp;[Client 448]")</f>
        <v>Client 448</v>
      </c>
      <c r="C304" s="49" t="str" vm="549">
        <f>CUBEMEMBER("ThisWorkbookDataModel",{"[TPData].[Client].&amp;[Client 448]","[TPData].[Close Month].&amp;[2019-02-01T00:00:00]"})</f>
        <v>2/1/2019</v>
      </c>
      <c r="D304" s="49" t="str">
        <f>INDEX(TPData[Sales Rep],MATCH('Deal Size Analysis'!$B304,TPData[Client],FALSE))</f>
        <v>Rep 39</v>
      </c>
      <c r="E304" s="4" vm="1101">
        <f t="shared" si="12"/>
        <v>7200</v>
      </c>
      <c r="F304" s="4" t="str">
        <f t="shared" si="13"/>
        <v>Medium (&lt;10k)</v>
      </c>
    </row>
    <row r="305" spans="2:6" x14ac:dyDescent="0.2">
      <c r="B305" s="49" t="str" vm="355">
        <f>CUBEMEMBER("ThisWorkbookDataModel","[TPData].[Client].&amp;[Client 449]")</f>
        <v>Client 449</v>
      </c>
      <c r="C305" s="49" t="str" vm="735">
        <f>CUBEMEMBER("ThisWorkbookDataModel",{"[TPData].[Client].&amp;[Client 449]","[TPData].[Close Month].&amp;[2019-02-01T00:00:00]"})</f>
        <v>2/1/2019</v>
      </c>
      <c r="D305" s="49" t="str">
        <f>INDEX(TPData[Sales Rep],MATCH('Deal Size Analysis'!$B305,TPData[Client],FALSE))</f>
        <v>Rep 39</v>
      </c>
      <c r="E305" s="4" vm="1209">
        <f t="shared" si="12"/>
        <v>1248</v>
      </c>
      <c r="F305" s="4" t="str">
        <f t="shared" si="13"/>
        <v>Small (&lt;5k)</v>
      </c>
    </row>
    <row r="306" spans="2:6" x14ac:dyDescent="0.2">
      <c r="B306" s="49" t="str" vm="160">
        <f>CUBEMEMBER("ThisWorkbookDataModel","[TPData].[Client].&amp;[Client 45]")</f>
        <v>Client 45</v>
      </c>
      <c r="C306" s="49" t="str" vm="994">
        <f>CUBEMEMBER("ThisWorkbookDataModel",{"[TPData].[Client].&amp;[Client 45]","[TPData].[Close Month].&amp;[2018-07-01T00:00:00]"})</f>
        <v>7/1/2018</v>
      </c>
      <c r="D306" s="49" t="str">
        <f>INDEX(TPData[Sales Rep],MATCH('Deal Size Analysis'!$B306,TPData[Client],FALSE))</f>
        <v>Rep 27</v>
      </c>
      <c r="E306" s="4" vm="1379">
        <f t="shared" si="12"/>
        <v>2760</v>
      </c>
      <c r="F306" s="4" t="str">
        <f t="shared" si="13"/>
        <v>Small (&lt;5k)</v>
      </c>
    </row>
    <row r="307" spans="2:6" x14ac:dyDescent="0.2">
      <c r="B307" s="49" t="str" vm="548">
        <f>CUBEMEMBER("ThisWorkbookDataModel","[TPData].[Client].&amp;[Client 450]")</f>
        <v>Client 450</v>
      </c>
      <c r="C307" s="49" t="str" vm="354">
        <f>CUBEMEMBER("ThisWorkbookDataModel",{"[TPData].[Client].&amp;[Client 450]","[TPData].[Close Month].&amp;[2019-02-01T00:00:00]"})</f>
        <v>2/1/2019</v>
      </c>
      <c r="D307" s="49" t="str">
        <f>INDEX(TPData[Sales Rep],MATCH('Deal Size Analysis'!$B307,TPData[Client],FALSE))</f>
        <v>Rep 39</v>
      </c>
      <c r="E307" s="4" vm="1502">
        <f t="shared" si="12"/>
        <v>1974</v>
      </c>
      <c r="F307" s="4" t="str">
        <f t="shared" si="13"/>
        <v>Small (&lt;5k)</v>
      </c>
    </row>
    <row r="308" spans="2:6" x14ac:dyDescent="0.2">
      <c r="B308" s="49" t="str" vm="159">
        <f>CUBEMEMBER("ThisWorkbookDataModel","[TPData].[Client].&amp;[Client 451]")</f>
        <v>Client 451</v>
      </c>
      <c r="C308" s="49" t="str" vm="907">
        <f>CUBEMEMBER("ThisWorkbookDataModel",{"[TPData].[Client].&amp;[Client 451]","[TPData].[Close Month].&amp;[2019-03-01T00:00:00]"})</f>
        <v>3/1/2019</v>
      </c>
      <c r="D308" s="49" t="str">
        <f>INDEX(TPData[Sales Rep],MATCH('Deal Size Analysis'!$B308,TPData[Client],FALSE))</f>
        <v>Rep 39</v>
      </c>
      <c r="E308" s="4" vm="1326">
        <f t="shared" si="12"/>
        <v>1638</v>
      </c>
      <c r="F308" s="4" t="str">
        <f t="shared" si="13"/>
        <v>Small (&lt;5k)</v>
      </c>
    </row>
    <row r="309" spans="2:6" x14ac:dyDescent="0.2">
      <c r="B309" s="49" t="str" vm="821">
        <f>CUBEMEMBER("ThisWorkbookDataModel","[TPData].[Client].&amp;[Client 452]")</f>
        <v>Client 452</v>
      </c>
      <c r="C309" s="49" t="str" vm="547">
        <f>CUBEMEMBER("ThisWorkbookDataModel",{"[TPData].[Client].&amp;[Client 452]","[TPData].[Close Month].&amp;[2019-03-01T00:00:00]"})</f>
        <v>3/1/2019</v>
      </c>
      <c r="D309" s="49" t="str">
        <f>INDEX(TPData[Sales Rep],MATCH('Deal Size Analysis'!$B309,TPData[Client],FALSE))</f>
        <v>Rep 39</v>
      </c>
      <c r="E309" s="4" vm="1100">
        <f t="shared" si="12"/>
        <v>1470</v>
      </c>
      <c r="F309" s="4" t="str">
        <f t="shared" si="13"/>
        <v>Small (&lt;5k)</v>
      </c>
    </row>
    <row r="310" spans="2:6" x14ac:dyDescent="0.2">
      <c r="B310" s="49" t="str" vm="158">
        <f>CUBEMEMBER("ThisWorkbookDataModel","[TPData].[Client].&amp;[Client 453]")</f>
        <v>Client 453</v>
      </c>
      <c r="C310" s="49" t="str" vm="353">
        <f>CUBEMEMBER("ThisWorkbookDataModel",{"[TPData].[Client].&amp;[Client 453]","[TPData].[Close Month].&amp;[2019-03-01T00:00:00]"})</f>
        <v>3/1/2019</v>
      </c>
      <c r="D310" s="49" t="str">
        <f>INDEX(TPData[Sales Rep],MATCH('Deal Size Analysis'!$B310,TPData[Client],FALSE))</f>
        <v>Rep 39</v>
      </c>
      <c r="E310" s="4" vm="1503">
        <f t="shared" si="12"/>
        <v>1470</v>
      </c>
      <c r="F310" s="4" t="str">
        <f t="shared" si="13"/>
        <v>Small (&lt;5k)</v>
      </c>
    </row>
    <row r="311" spans="2:6" x14ac:dyDescent="0.2">
      <c r="B311" s="49" t="str" vm="734">
        <f>CUBEMEMBER("ThisWorkbookDataModel","[TPData].[Client].&amp;[Client 454]")</f>
        <v>Client 454</v>
      </c>
      <c r="C311" s="49" t="str" vm="993">
        <f>CUBEMEMBER("ThisWorkbookDataModel",{"[TPData].[Client].&amp;[Client 454]","[TPData].[Close Month].&amp;[2019-03-01T00:00:00]"})</f>
        <v>3/1/2019</v>
      </c>
      <c r="D311" s="49" t="str">
        <f>INDEX(TPData[Sales Rep],MATCH('Deal Size Analysis'!$B311,TPData[Client],FALSE))</f>
        <v>Rep 39</v>
      </c>
      <c r="E311" s="4" vm="1378">
        <f t="shared" si="12"/>
        <v>2256</v>
      </c>
      <c r="F311" s="4" t="str">
        <f t="shared" si="13"/>
        <v>Small (&lt;5k)</v>
      </c>
    </row>
    <row r="312" spans="2:6" x14ac:dyDescent="0.2">
      <c r="B312" s="49" t="str" vm="157">
        <f>CUBEMEMBER("ThisWorkbookDataModel","[TPData].[Client].&amp;[Client 455]")</f>
        <v>Client 455</v>
      </c>
      <c r="C312" s="49" t="str" vm="546">
        <f>CUBEMEMBER("ThisWorkbookDataModel",{"[TPData].[Client].&amp;[Client 455]","[TPData].[Close Month].&amp;[2019-03-01T00:00:00]"})</f>
        <v>3/1/2019</v>
      </c>
      <c r="D312" s="49" t="str">
        <f>INDEX(TPData[Sales Rep],MATCH('Deal Size Analysis'!$B312,TPData[Client],FALSE))</f>
        <v>Rep 39</v>
      </c>
      <c r="E312" s="4" vm="1099">
        <f t="shared" si="12"/>
        <v>31104.000000000004</v>
      </c>
      <c r="F312" s="4" t="str">
        <f t="shared" si="13"/>
        <v>Mega (20k+)</v>
      </c>
    </row>
    <row r="313" spans="2:6" x14ac:dyDescent="0.2">
      <c r="B313" s="49" t="str" vm="352">
        <f>CUBEMEMBER("ThisWorkbookDataModel","[TPData].[Client].&amp;[Client 456]")</f>
        <v>Client 456</v>
      </c>
      <c r="C313" s="49" t="str" vm="906">
        <f>CUBEMEMBER("ThisWorkbookDataModel",{"[TPData].[Client].&amp;[Client 456]","[TPData].[Close Month].&amp;[2019-04-01T00:00:00]"})</f>
        <v>4/1/2019</v>
      </c>
      <c r="D313" s="49" t="str">
        <f>INDEX(TPData[Sales Rep],MATCH('Deal Size Analysis'!$B313,TPData[Client],FALSE))</f>
        <v>Rep 39</v>
      </c>
      <c r="E313" s="4" vm="1325">
        <f t="shared" si="12"/>
        <v>1920.0383999999999</v>
      </c>
      <c r="F313" s="4" t="str">
        <f t="shared" si="13"/>
        <v>Small (&lt;5k)</v>
      </c>
    </row>
    <row r="314" spans="2:6" x14ac:dyDescent="0.2">
      <c r="B314" s="49" t="str" vm="156">
        <f>CUBEMEMBER("ThisWorkbookDataModel","[TPData].[Client].&amp;[Client 457]")</f>
        <v>Client 457</v>
      </c>
      <c r="C314" s="49" t="str" vm="820">
        <f>CUBEMEMBER("ThisWorkbookDataModel",{"[TPData].[Client].&amp;[Client 457]","[TPData].[Close Month].&amp;[2019-04-01T00:00:00]"})</f>
        <v>4/1/2019</v>
      </c>
      <c r="D314" s="49" t="str">
        <f>INDEX(TPData[Sales Rep],MATCH('Deal Size Analysis'!$B314,TPData[Client],FALSE))</f>
        <v>Rep 39</v>
      </c>
      <c r="E314" s="4" vm="1258">
        <f t="shared" si="12"/>
        <v>1605</v>
      </c>
      <c r="F314" s="4" t="str">
        <f t="shared" si="13"/>
        <v>Small (&lt;5k)</v>
      </c>
    </row>
    <row r="315" spans="2:6" x14ac:dyDescent="0.2">
      <c r="B315" s="49" t="str" vm="545">
        <f>CUBEMEMBER("ThisWorkbookDataModel","[TPData].[Client].&amp;[Client 458]")</f>
        <v>Client 458</v>
      </c>
      <c r="C315" s="49" t="str" vm="351">
        <f>CUBEMEMBER("ThisWorkbookDataModel",{"[TPData].[Client].&amp;[Client 458]","[TPData].[Close Month].&amp;[2019-04-01T00:00:00]"})</f>
        <v>4/1/2019</v>
      </c>
      <c r="D315" s="49" t="str">
        <f>INDEX(TPData[Sales Rep],MATCH('Deal Size Analysis'!$B315,TPData[Client],FALSE))</f>
        <v>Rep 39</v>
      </c>
      <c r="E315" s="4" vm="1504">
        <f t="shared" si="12"/>
        <v>1500</v>
      </c>
      <c r="F315" s="4" t="str">
        <f t="shared" si="13"/>
        <v>Small (&lt;5k)</v>
      </c>
    </row>
    <row r="316" spans="2:6" x14ac:dyDescent="0.2">
      <c r="B316" s="49" t="str" vm="155">
        <f>CUBEMEMBER("ThisWorkbookDataModel","[TPData].[Client].&amp;[Client 459]")</f>
        <v>Client 459</v>
      </c>
      <c r="C316" s="49" t="str" vm="733">
        <f>CUBEMEMBER("ThisWorkbookDataModel",{"[TPData].[Client].&amp;[Client 459]","[TPData].[Close Month].&amp;[2019-04-01T00:00:00]"})</f>
        <v>4/1/2019</v>
      </c>
      <c r="D316" s="49" t="str">
        <f>INDEX(TPData[Sales Rep],MATCH('Deal Size Analysis'!$B316,TPData[Client],FALSE))</f>
        <v>Rep 39</v>
      </c>
      <c r="E316" s="4" vm="1239">
        <f t="shared" si="12"/>
        <v>1854</v>
      </c>
      <c r="F316" s="4" t="str">
        <f t="shared" si="13"/>
        <v>Small (&lt;5k)</v>
      </c>
    </row>
    <row r="317" spans="2:6" x14ac:dyDescent="0.2">
      <c r="B317" s="49" t="str" vm="992">
        <f>CUBEMEMBER("ThisWorkbookDataModel","[TPData].[Client].&amp;[Client 46]")</f>
        <v>Client 46</v>
      </c>
      <c r="C317" s="49" t="str" vm="544">
        <f>CUBEMEMBER("ThisWorkbookDataModel",{"[TPData].[Client].&amp;[Client 46]","[TPData].[Close Month].&amp;[2018-07-01T00:00:00]"})</f>
        <v>7/1/2018</v>
      </c>
      <c r="D317" s="49" t="str">
        <f>INDEX(TPData[Sales Rep],MATCH('Deal Size Analysis'!$B317,TPData[Client],FALSE))</f>
        <v>Rep 27</v>
      </c>
      <c r="E317" s="4" vm="1098">
        <f t="shared" si="12"/>
        <v>6240</v>
      </c>
      <c r="F317" s="4" t="str">
        <f t="shared" si="13"/>
        <v>Medium (&lt;10k)</v>
      </c>
    </row>
    <row r="318" spans="2:6" x14ac:dyDescent="0.2">
      <c r="B318" s="49" t="str" vm="154">
        <f>CUBEMEMBER("ThisWorkbookDataModel","[TPData].[Client].&amp;[Client 460]")</f>
        <v>Client 460</v>
      </c>
      <c r="C318" s="49" t="str" vm="350">
        <f>CUBEMEMBER("ThisWorkbookDataModel",{"[TPData].[Client].&amp;[Client 460]","[TPData].[Close Month].&amp;[2019-04-01T00:00:00]"})</f>
        <v>4/1/2019</v>
      </c>
      <c r="D318" s="49" t="str">
        <f>INDEX(TPData[Sales Rep],MATCH('Deal Size Analysis'!$B318,TPData[Client],FALSE))</f>
        <v>Rep 39</v>
      </c>
      <c r="E318" s="4" vm="1505">
        <f t="shared" si="12"/>
        <v>1824</v>
      </c>
      <c r="F318" s="4" t="str">
        <f t="shared" si="13"/>
        <v>Small (&lt;5k)</v>
      </c>
    </row>
    <row r="319" spans="2:6" x14ac:dyDescent="0.2">
      <c r="B319" s="49" t="str" vm="905">
        <f>CUBEMEMBER("ThisWorkbookDataModel","[TPData].[Client].&amp;[Client 461]")</f>
        <v>Client 461</v>
      </c>
      <c r="C319" s="49" t="str" vm="819">
        <f>CUBEMEMBER("ThisWorkbookDataModel",{"[TPData].[Client].&amp;[Client 461]","[TPData].[Close Month].&amp;[2019-05-01T00:00:00]"})</f>
        <v>5/1/2019</v>
      </c>
      <c r="D319" s="49" t="str">
        <f>INDEX(TPData[Sales Rep],MATCH('Deal Size Analysis'!$B319,TPData[Client],FALSE))</f>
        <v>Rep 39</v>
      </c>
      <c r="E319" s="4" vm="1257">
        <f t="shared" si="12"/>
        <v>1104</v>
      </c>
      <c r="F319" s="4" t="str">
        <f t="shared" si="13"/>
        <v>Small (&lt;5k)</v>
      </c>
    </row>
    <row r="320" spans="2:6" x14ac:dyDescent="0.2">
      <c r="B320" s="49" t="str" vm="153">
        <f>CUBEMEMBER("ThisWorkbookDataModel","[TPData].[Client].&amp;[Client 462]")</f>
        <v>Client 462</v>
      </c>
      <c r="C320" s="49" t="str" vm="543">
        <f>CUBEMEMBER("ThisWorkbookDataModel",{"[TPData].[Client].&amp;[Client 462]","[TPData].[Close Month].&amp;[2019-05-01T00:00:00]"})</f>
        <v>5/1/2019</v>
      </c>
      <c r="D320" s="49" t="str">
        <f>INDEX(TPData[Sales Rep],MATCH('Deal Size Analysis'!$B320,TPData[Client],FALSE))</f>
        <v>Rep 39</v>
      </c>
      <c r="E320" s="4" vm="1097">
        <f t="shared" si="12"/>
        <v>5520</v>
      </c>
      <c r="F320" s="4" t="str">
        <f t="shared" si="13"/>
        <v>Medium (&lt;10k)</v>
      </c>
    </row>
    <row r="321" spans="2:6" x14ac:dyDescent="0.2">
      <c r="B321" s="49" t="str" vm="349">
        <f>CUBEMEMBER("ThisWorkbookDataModel","[TPData].[Client].&amp;[Client 463]")</f>
        <v>Client 463</v>
      </c>
      <c r="C321" s="49" t="str" vm="732">
        <f>CUBEMEMBER("ThisWorkbookDataModel",{"[TPData].[Client].&amp;[Client 463]","[TPData].[Close Month].&amp;[2019-05-01T00:00:00]"})</f>
        <v>5/1/2019</v>
      </c>
      <c r="D321" s="49" t="str">
        <f>INDEX(TPData[Sales Rep],MATCH('Deal Size Analysis'!$B321,TPData[Client],FALSE))</f>
        <v>Rep 39</v>
      </c>
      <c r="E321" s="4" vm="1208">
        <f t="shared" si="12"/>
        <v>3240</v>
      </c>
      <c r="F321" s="4" t="str">
        <f t="shared" si="13"/>
        <v>Small (&lt;5k)</v>
      </c>
    </row>
    <row r="322" spans="2:6" x14ac:dyDescent="0.2">
      <c r="B322" s="49" t="str" vm="152">
        <f>CUBEMEMBER("ThisWorkbookDataModel","[TPData].[Client].&amp;[Client 464]")</f>
        <v>Client 464</v>
      </c>
      <c r="C322" s="49" t="str" vm="991">
        <f>CUBEMEMBER("ThisWorkbookDataModel",{"[TPData].[Client].&amp;[Client 464]","[TPData].[Close Month].&amp;[2019-05-01T00:00:00]"})</f>
        <v>5/1/2019</v>
      </c>
      <c r="D322" s="49" t="str">
        <f>INDEX(TPData[Sales Rep],MATCH('Deal Size Analysis'!$B322,TPData[Client],FALSE))</f>
        <v>Rep 39</v>
      </c>
      <c r="E322" s="4" vm="1377">
        <f t="shared" si="12"/>
        <v>3150</v>
      </c>
      <c r="F322" s="4" t="str">
        <f t="shared" si="13"/>
        <v>Small (&lt;5k)</v>
      </c>
    </row>
    <row r="323" spans="2:6" x14ac:dyDescent="0.2">
      <c r="B323" s="49" t="str" vm="542">
        <f>CUBEMEMBER("ThisWorkbookDataModel","[TPData].[Client].&amp;[Client 465]")</f>
        <v>Client 465</v>
      </c>
      <c r="C323" s="49" t="str" vm="348">
        <f>CUBEMEMBER("ThisWorkbookDataModel",{"[TPData].[Client].&amp;[Client 465]","[TPData].[Close Month].&amp;[2019-05-01T00:00:00]"})</f>
        <v>5/1/2019</v>
      </c>
      <c r="D323" s="49" t="str">
        <f>INDEX(TPData[Sales Rep],MATCH('Deal Size Analysis'!$B323,TPData[Client],FALSE))</f>
        <v>Rep 39</v>
      </c>
      <c r="E323" s="4" vm="1506">
        <f t="shared" si="12"/>
        <v>7128</v>
      </c>
      <c r="F323" s="4" t="str">
        <f t="shared" si="13"/>
        <v>Medium (&lt;10k)</v>
      </c>
    </row>
    <row r="324" spans="2:6" x14ac:dyDescent="0.2">
      <c r="B324" s="49" t="str" vm="151">
        <f>CUBEMEMBER("ThisWorkbookDataModel","[TPData].[Client].&amp;[Client 466]")</f>
        <v>Client 466</v>
      </c>
      <c r="C324" s="49" t="str" vm="904">
        <f>CUBEMEMBER("ThisWorkbookDataModel",{"[TPData].[Client].&amp;[Client 466]","[TPData].[Close Month].&amp;[2019-05-01T00:00:00]"})</f>
        <v>5/1/2019</v>
      </c>
      <c r="D324" s="49" t="str">
        <f>INDEX(TPData[Sales Rep],MATCH('Deal Size Analysis'!$B324,TPData[Client],FALSE))</f>
        <v>Rep 39</v>
      </c>
      <c r="E324" s="4" vm="1324">
        <f t="shared" si="12"/>
        <v>2310</v>
      </c>
      <c r="F324" s="4" t="str">
        <f t="shared" si="13"/>
        <v>Small (&lt;5k)</v>
      </c>
    </row>
    <row r="325" spans="2:6" x14ac:dyDescent="0.2">
      <c r="B325" s="49" t="str" vm="818">
        <f>CUBEMEMBER("ThisWorkbookDataModel","[TPData].[Client].&amp;[Client 467]")</f>
        <v>Client 467</v>
      </c>
      <c r="C325" s="49" t="str" vm="541">
        <f>CUBEMEMBER("ThisWorkbookDataModel",{"[TPData].[Client].&amp;[Client 467]","[TPData].[Close Month].&amp;[2019-06-01T00:00:00]"})</f>
        <v>6/1/2019</v>
      </c>
      <c r="D325" s="49" t="str">
        <f>INDEX(TPData[Sales Rep],MATCH('Deal Size Analysis'!$B325,TPData[Client],FALSE))</f>
        <v>Rep 39</v>
      </c>
      <c r="E325" s="4" vm="1096">
        <f t="shared" ref="E325:E388" si="14">CUBEVALUE("ThisWorkbookDataModel",$C325,E$4)</f>
        <v>1926</v>
      </c>
      <c r="F325" s="4" t="str">
        <f t="shared" si="13"/>
        <v>Small (&lt;5k)</v>
      </c>
    </row>
    <row r="326" spans="2:6" x14ac:dyDescent="0.2">
      <c r="B326" s="49" t="str" vm="150">
        <f>CUBEMEMBER("ThisWorkbookDataModel","[TPData].[Client].&amp;[Client 47]")</f>
        <v>Client 47</v>
      </c>
      <c r="C326" s="49" t="str" vm="347">
        <f>CUBEMEMBER("ThisWorkbookDataModel",{"[TPData].[Client].&amp;[Client 47]","[TPData].[Close Month].&amp;[2018-07-01T00:00:00]"})</f>
        <v>7/1/2018</v>
      </c>
      <c r="D326" s="49" t="str">
        <f>INDEX(TPData[Sales Rep],MATCH('Deal Size Analysis'!$B326,TPData[Client],FALSE))</f>
        <v>Rep 27</v>
      </c>
      <c r="E326" s="4" vm="1507">
        <f t="shared" si="14"/>
        <v>10220.4</v>
      </c>
      <c r="F326" s="4" t="str">
        <f t="shared" ref="F326:F389" si="15">IF(E326&lt;=5000,$H$9,IF((E326&lt;10000),$H$10,IF((E326&lt;20000),$H$11,IF((E326&gt;=20000),$H$12))))</f>
        <v>Large (&lt;20k)</v>
      </c>
    </row>
    <row r="327" spans="2:6" x14ac:dyDescent="0.2">
      <c r="B327" s="49" t="str" vm="731">
        <f>CUBEMEMBER("ThisWorkbookDataModel","[TPData].[Client].&amp;[Client 48]")</f>
        <v>Client 48</v>
      </c>
      <c r="C327" s="49" t="str" vm="990">
        <f>CUBEMEMBER("ThisWorkbookDataModel",{"[TPData].[Client].&amp;[Client 48]","[TPData].[Close Month].&amp;[2018-07-01T00:00:00]"})</f>
        <v>7/1/2018</v>
      </c>
      <c r="D327" s="49" t="str">
        <f>INDEX(TPData[Sales Rep],MATCH('Deal Size Analysis'!$B327,TPData[Client],FALSE))</f>
        <v>Rep 27</v>
      </c>
      <c r="E327" s="4" vm="1376">
        <f t="shared" si="14"/>
        <v>5280</v>
      </c>
      <c r="F327" s="4" t="str">
        <f t="shared" si="15"/>
        <v>Medium (&lt;10k)</v>
      </c>
    </row>
    <row r="328" spans="2:6" x14ac:dyDescent="0.2">
      <c r="B328" s="49" t="str" vm="149">
        <f>CUBEMEMBER("ThisWorkbookDataModel","[TPData].[Client].&amp;[Client 481]")</f>
        <v>Client 481</v>
      </c>
      <c r="C328" s="49" t="str" vm="540">
        <f>CUBEMEMBER("ThisWorkbookDataModel",{"[TPData].[Client].&amp;[Client 481]","[TPData].[Close Month].&amp;[2018-08-01T00:00:00]"})</f>
        <v>8/1/2018</v>
      </c>
      <c r="D328" s="49" t="str">
        <f>INDEX(TPData[Sales Rep],MATCH('Deal Size Analysis'!$B328,TPData[Client],FALSE))</f>
        <v>Rep 15</v>
      </c>
      <c r="E328" s="4" vm="1095">
        <f t="shared" si="14"/>
        <v>3528</v>
      </c>
      <c r="F328" s="4" t="str">
        <f t="shared" si="15"/>
        <v>Small (&lt;5k)</v>
      </c>
    </row>
    <row r="329" spans="2:6" x14ac:dyDescent="0.2">
      <c r="B329" s="49" t="str" vm="346">
        <f>CUBEMEMBER("ThisWorkbookDataModel","[TPData].[Client].&amp;[Client 482]")</f>
        <v>Client 482</v>
      </c>
      <c r="C329" s="49" t="str" vm="903">
        <f>CUBEMEMBER("ThisWorkbookDataModel",{"[TPData].[Client].&amp;[Client 482]","[TPData].[Close Month].&amp;[2018-08-01T00:00:00]"})</f>
        <v>8/1/2018</v>
      </c>
      <c r="D329" s="49" t="str">
        <f>INDEX(TPData[Sales Rep],MATCH('Deal Size Analysis'!$B329,TPData[Client],FALSE))</f>
        <v>Rep 15</v>
      </c>
      <c r="E329" s="4" vm="1323">
        <f t="shared" si="14"/>
        <v>28005.120000000003</v>
      </c>
      <c r="F329" s="4" t="str">
        <f t="shared" si="15"/>
        <v>Mega (20k+)</v>
      </c>
    </row>
    <row r="330" spans="2:6" x14ac:dyDescent="0.2">
      <c r="B330" s="49" t="str" vm="148">
        <f>CUBEMEMBER("ThisWorkbookDataModel","[TPData].[Client].&amp;[Client 483]")</f>
        <v>Client 483</v>
      </c>
      <c r="C330" s="49" t="str" vm="817">
        <f>CUBEMEMBER("ThisWorkbookDataModel",{"[TPData].[Client].&amp;[Client 483]","[TPData].[Close Month].&amp;[2018-08-01T00:00:00]"})</f>
        <v>8/1/2018</v>
      </c>
      <c r="D330" s="49" t="str">
        <f>INDEX(TPData[Sales Rep],MATCH('Deal Size Analysis'!$B330,TPData[Client],FALSE))</f>
        <v>Rep 15</v>
      </c>
      <c r="E330" s="4" vm="1256">
        <f t="shared" si="14"/>
        <v>6491.52</v>
      </c>
      <c r="F330" s="4" t="str">
        <f t="shared" si="15"/>
        <v>Medium (&lt;10k)</v>
      </c>
    </row>
    <row r="331" spans="2:6" x14ac:dyDescent="0.2">
      <c r="B331" s="49" t="str" vm="539">
        <f>CUBEMEMBER("ThisWorkbookDataModel","[TPData].[Client].&amp;[Client 484]")</f>
        <v>Client 484</v>
      </c>
      <c r="C331" s="49" t="str" vm="345">
        <f>CUBEMEMBER("ThisWorkbookDataModel",{"[TPData].[Client].&amp;[Client 484]","[TPData].[Close Month].&amp;[2018-08-01T00:00:00]"})</f>
        <v>8/1/2018</v>
      </c>
      <c r="D331" s="49" t="str">
        <f>INDEX(TPData[Sales Rep],MATCH('Deal Size Analysis'!$B331,TPData[Client],FALSE))</f>
        <v>Rep 15</v>
      </c>
      <c r="E331" s="4" vm="1508">
        <f t="shared" si="14"/>
        <v>1526.3999999999999</v>
      </c>
      <c r="F331" s="4" t="str">
        <f t="shared" si="15"/>
        <v>Small (&lt;5k)</v>
      </c>
    </row>
    <row r="332" spans="2:6" x14ac:dyDescent="0.2">
      <c r="B332" s="49" t="str" vm="147">
        <f>CUBEMEMBER("ThisWorkbookDataModel","[TPData].[Client].&amp;[Client 485]")</f>
        <v>Client 485</v>
      </c>
      <c r="C332" s="49" t="str" vm="730">
        <f>CUBEMEMBER("ThisWorkbookDataModel",{"[TPData].[Client].&amp;[Client 485]","[TPData].[Close Month].&amp;[2018-09-01T00:00:00]"})</f>
        <v>9/1/2018</v>
      </c>
      <c r="D332" s="49" t="str">
        <f>INDEX(TPData[Sales Rep],MATCH('Deal Size Analysis'!$B332,TPData[Client],FALSE))</f>
        <v>Rep 15</v>
      </c>
      <c r="E332" s="4" vm="1207">
        <f t="shared" si="14"/>
        <v>2995.2</v>
      </c>
      <c r="F332" s="4" t="str">
        <f t="shared" si="15"/>
        <v>Small (&lt;5k)</v>
      </c>
    </row>
    <row r="333" spans="2:6" x14ac:dyDescent="0.2">
      <c r="B333" s="49" t="str" vm="989">
        <f>CUBEMEMBER("ThisWorkbookDataModel","[TPData].[Client].&amp;[Client 486]")</f>
        <v>Client 486</v>
      </c>
      <c r="C333" s="49" t="str" vm="538">
        <f>CUBEMEMBER("ThisWorkbookDataModel",{"[TPData].[Client].&amp;[Client 486]","[TPData].[Close Month].&amp;[2018-09-01T00:00:00]"})</f>
        <v>9/1/2018</v>
      </c>
      <c r="D333" s="49" t="str">
        <f>INDEX(TPData[Sales Rep],MATCH('Deal Size Analysis'!$B333,TPData[Client],FALSE))</f>
        <v>Rep 15</v>
      </c>
      <c r="E333" s="4" vm="1094">
        <f t="shared" si="14"/>
        <v>15120</v>
      </c>
      <c r="F333" s="4" t="str">
        <f t="shared" si="15"/>
        <v>Large (&lt;20k)</v>
      </c>
    </row>
    <row r="334" spans="2:6" x14ac:dyDescent="0.2">
      <c r="B334" s="49" t="str" vm="146">
        <f>CUBEMEMBER("ThisWorkbookDataModel","[TPData].[Client].&amp;[Client 487]")</f>
        <v>Client 487</v>
      </c>
      <c r="C334" s="49" t="str" vm="344">
        <f>CUBEMEMBER("ThisWorkbookDataModel",{"[TPData].[Client].&amp;[Client 487]","[TPData].[Close Month].&amp;[2018-09-01T00:00:00]"})</f>
        <v>9/1/2018</v>
      </c>
      <c r="D334" s="49" t="str">
        <f>INDEX(TPData[Sales Rep],MATCH('Deal Size Analysis'!$B334,TPData[Client],FALSE))</f>
        <v>Rep 15</v>
      </c>
      <c r="E334" s="4" vm="1509">
        <f t="shared" si="14"/>
        <v>5529.5999999999995</v>
      </c>
      <c r="F334" s="4" t="str">
        <f t="shared" si="15"/>
        <v>Medium (&lt;10k)</v>
      </c>
    </row>
    <row r="335" spans="2:6" x14ac:dyDescent="0.2">
      <c r="B335" s="49" t="str" vm="902">
        <f>CUBEMEMBER("ThisWorkbookDataModel","[TPData].[Client].&amp;[Client 488]")</f>
        <v>Client 488</v>
      </c>
      <c r="C335" s="49" t="str" vm="816">
        <f>CUBEMEMBER("ThisWorkbookDataModel",{"[TPData].[Client].&amp;[Client 488]","[TPData].[Close Month].&amp;[2018-09-01T00:00:00]"})</f>
        <v>9/1/2018</v>
      </c>
      <c r="D335" s="49" t="str">
        <f>INDEX(TPData[Sales Rep],MATCH('Deal Size Analysis'!$B335,TPData[Client],FALSE))</f>
        <v>Rep 15</v>
      </c>
      <c r="E335" s="4" vm="1255">
        <f t="shared" si="14"/>
        <v>1324.8</v>
      </c>
      <c r="F335" s="4" t="str">
        <f t="shared" si="15"/>
        <v>Small (&lt;5k)</v>
      </c>
    </row>
    <row r="336" spans="2:6" x14ac:dyDescent="0.2">
      <c r="B336" s="49" t="str" vm="145">
        <f>CUBEMEMBER("ThisWorkbookDataModel","[TPData].[Client].&amp;[Client 489]")</f>
        <v>Client 489</v>
      </c>
      <c r="C336" s="49" t="str" vm="537">
        <f>CUBEMEMBER("ThisWorkbookDataModel",{"[TPData].[Client].&amp;[Client 489]","[TPData].[Close Month].&amp;[2018-10-01T00:00:00]"})</f>
        <v>10/1/2018</v>
      </c>
      <c r="D336" s="49" t="str">
        <f>INDEX(TPData[Sales Rep],MATCH('Deal Size Analysis'!$B336,TPData[Client],FALSE))</f>
        <v>Rep 15</v>
      </c>
      <c r="E336" s="4" vm="1093">
        <f t="shared" si="14"/>
        <v>1526.3999999999999</v>
      </c>
      <c r="F336" s="4" t="str">
        <f t="shared" si="15"/>
        <v>Small (&lt;5k)</v>
      </c>
    </row>
    <row r="337" spans="2:6" x14ac:dyDescent="0.2">
      <c r="B337" s="49" t="str" vm="343">
        <f>CUBEMEMBER("ThisWorkbookDataModel","[TPData].[Client].&amp;[Client 49]")</f>
        <v>Client 49</v>
      </c>
      <c r="C337" s="49" t="str" vm="729">
        <f>CUBEMEMBER("ThisWorkbookDataModel",{"[TPData].[Client].&amp;[Client 49]","[TPData].[Close Month].&amp;[2018-08-01T00:00:00]"})</f>
        <v>8/1/2018</v>
      </c>
      <c r="D337" s="49" t="str">
        <f>INDEX(TPData[Sales Rep],MATCH('Deal Size Analysis'!$B337,TPData[Client],FALSE))</f>
        <v>Rep 27</v>
      </c>
      <c r="E337" s="4" vm="1206">
        <f t="shared" si="14"/>
        <v>2940</v>
      </c>
      <c r="F337" s="4" t="str">
        <f t="shared" si="15"/>
        <v>Small (&lt;5k)</v>
      </c>
    </row>
    <row r="338" spans="2:6" x14ac:dyDescent="0.2">
      <c r="B338" s="49" t="str" vm="144">
        <f>CUBEMEMBER("ThisWorkbookDataModel","[TPData].[Client].&amp;[Client 490]")</f>
        <v>Client 490</v>
      </c>
      <c r="C338" s="49" t="str" vm="988">
        <f>CUBEMEMBER("ThisWorkbookDataModel",{"[TPData].[Client].&amp;[Client 490]","[TPData].[Close Month].&amp;[2018-10-01T00:00:00]"})</f>
        <v>10/1/2018</v>
      </c>
      <c r="D338" s="49" t="str">
        <f>INDEX(TPData[Sales Rep],MATCH('Deal Size Analysis'!$B338,TPData[Client],FALSE))</f>
        <v>Rep 15</v>
      </c>
      <c r="E338" s="4" vm="1375">
        <f t="shared" si="14"/>
        <v>17280</v>
      </c>
      <c r="F338" s="4" t="str">
        <f t="shared" si="15"/>
        <v>Large (&lt;20k)</v>
      </c>
    </row>
    <row r="339" spans="2:6" x14ac:dyDescent="0.2">
      <c r="B339" s="49" t="str" vm="536">
        <f>CUBEMEMBER("ThisWorkbookDataModel","[TPData].[Client].&amp;[Client 491]")</f>
        <v>Client 491</v>
      </c>
      <c r="C339" s="49" t="str" vm="342">
        <f>CUBEMEMBER("ThisWorkbookDataModel",{"[TPData].[Client].&amp;[Client 491]","[TPData].[Close Month].&amp;[2018-10-01T00:00:00]"})</f>
        <v>10/1/2018</v>
      </c>
      <c r="D339" s="49" t="str">
        <f>INDEX(TPData[Sales Rep],MATCH('Deal Size Analysis'!$B339,TPData[Client],FALSE))</f>
        <v>Rep 15</v>
      </c>
      <c r="E339" s="4" vm="1510">
        <f t="shared" si="14"/>
        <v>2354.4</v>
      </c>
      <c r="F339" s="4" t="str">
        <f t="shared" si="15"/>
        <v>Small (&lt;5k)</v>
      </c>
    </row>
    <row r="340" spans="2:6" x14ac:dyDescent="0.2">
      <c r="B340" s="49" t="str" vm="143">
        <f>CUBEMEMBER("ThisWorkbookDataModel","[TPData].[Client].&amp;[Client 492]")</f>
        <v>Client 492</v>
      </c>
      <c r="C340" s="49" t="str" vm="901">
        <f>CUBEMEMBER("ThisWorkbookDataModel",{"[TPData].[Client].&amp;[Client 492]","[TPData].[Close Month].&amp;[2018-10-01T00:00:00]"})</f>
        <v>10/1/2018</v>
      </c>
      <c r="D340" s="49" t="str">
        <f>INDEX(TPData[Sales Rep],MATCH('Deal Size Analysis'!$B340,TPData[Client],FALSE))</f>
        <v>Rep 15</v>
      </c>
      <c r="E340" s="4" vm="1322">
        <f t="shared" si="14"/>
        <v>18900</v>
      </c>
      <c r="F340" s="4" t="str">
        <f t="shared" si="15"/>
        <v>Large (&lt;20k)</v>
      </c>
    </row>
    <row r="341" spans="2:6" x14ac:dyDescent="0.2">
      <c r="B341" s="49" t="str" vm="815">
        <f>CUBEMEMBER("ThisWorkbookDataModel","[TPData].[Client].&amp;[Client 493]")</f>
        <v>Client 493</v>
      </c>
      <c r="C341" s="49" t="str" vm="535">
        <f>CUBEMEMBER("ThisWorkbookDataModel",{"[TPData].[Client].&amp;[Client 493]","[TPData].[Close Month].&amp;[2018-10-01T00:00:00]"})</f>
        <v>10/1/2018</v>
      </c>
      <c r="D341" s="49" t="str">
        <f>INDEX(TPData[Sales Rep],MATCH('Deal Size Analysis'!$B341,TPData[Client],FALSE))</f>
        <v>Rep 15</v>
      </c>
      <c r="E341" s="4" vm="1156">
        <f t="shared" si="14"/>
        <v>7776</v>
      </c>
      <c r="F341" s="4" t="str">
        <f t="shared" si="15"/>
        <v>Medium (&lt;10k)</v>
      </c>
    </row>
    <row r="342" spans="2:6" x14ac:dyDescent="0.2">
      <c r="B342" s="49" t="str" vm="142">
        <f>CUBEMEMBER("ThisWorkbookDataModel","[TPData].[Client].&amp;[Client 494]")</f>
        <v>Client 494</v>
      </c>
      <c r="C342" s="49" t="str" vm="341">
        <f>CUBEMEMBER("ThisWorkbookDataModel",{"[TPData].[Client].&amp;[Client 494]","[TPData].[Close Month].&amp;[2018-10-01T00:00:00]"})</f>
        <v>10/1/2018</v>
      </c>
      <c r="D342" s="49" t="str">
        <f>INDEX(TPData[Sales Rep],MATCH('Deal Size Analysis'!$B342,TPData[Client],FALSE))</f>
        <v>Rep 15</v>
      </c>
      <c r="E342" s="4" vm="1511">
        <f t="shared" si="14"/>
        <v>5702.4</v>
      </c>
      <c r="F342" s="4" t="str">
        <f t="shared" si="15"/>
        <v>Medium (&lt;10k)</v>
      </c>
    </row>
    <row r="343" spans="2:6" x14ac:dyDescent="0.2">
      <c r="B343" s="49" t="str" vm="728">
        <f>CUBEMEMBER("ThisWorkbookDataModel","[TPData].[Client].&amp;[Client 495]")</f>
        <v>Client 495</v>
      </c>
      <c r="C343" s="49" t="str" vm="987">
        <f>CUBEMEMBER("ThisWorkbookDataModel",{"[TPData].[Client].&amp;[Client 495]","[TPData].[Close Month].&amp;[2018-11-01T00:00:00]"})</f>
        <v>11/1/2018</v>
      </c>
      <c r="D343" s="49" t="str">
        <f>INDEX(TPData[Sales Rep],MATCH('Deal Size Analysis'!$B343,TPData[Client],FALSE))</f>
        <v>Rep 15</v>
      </c>
      <c r="E343" s="4" vm="1374">
        <f t="shared" si="14"/>
        <v>13104</v>
      </c>
      <c r="F343" s="4" t="str">
        <f t="shared" si="15"/>
        <v>Large (&lt;20k)</v>
      </c>
    </row>
    <row r="344" spans="2:6" x14ac:dyDescent="0.2">
      <c r="B344" s="49" t="str" vm="141">
        <f>CUBEMEMBER("ThisWorkbookDataModel","[TPData].[Client].&amp;[Client 496]")</f>
        <v>Client 496</v>
      </c>
      <c r="C344" s="49" t="str" vm="534">
        <f>CUBEMEMBER("ThisWorkbookDataModel",{"[TPData].[Client].&amp;[Client 496]","[TPData].[Close Month].&amp;[2018-11-01T00:00:00]"})</f>
        <v>11/1/2018</v>
      </c>
      <c r="D344" s="49" t="str">
        <f>INDEX(TPData[Sales Rep],MATCH('Deal Size Analysis'!$B344,TPData[Client],FALSE))</f>
        <v>Rep 15</v>
      </c>
      <c r="E344" s="4" vm="1092">
        <f t="shared" si="14"/>
        <v>17962.559999999998</v>
      </c>
      <c r="F344" s="4" t="str">
        <f t="shared" si="15"/>
        <v>Large (&lt;20k)</v>
      </c>
    </row>
    <row r="345" spans="2:6" x14ac:dyDescent="0.2">
      <c r="B345" s="49" t="str" vm="340">
        <f>CUBEMEMBER("ThisWorkbookDataModel","[TPData].[Client].&amp;[Client 497]")</f>
        <v>Client 497</v>
      </c>
      <c r="C345" s="49" t="str" vm="900">
        <f>CUBEMEMBER("ThisWorkbookDataModel",{"[TPData].[Client].&amp;[Client 497]","[TPData].[Close Month].&amp;[2018-11-01T00:00:00]"})</f>
        <v>11/1/2018</v>
      </c>
      <c r="D345" s="49" t="str">
        <f>INDEX(TPData[Sales Rep],MATCH('Deal Size Analysis'!$B345,TPData[Client],FALSE))</f>
        <v>Rep 15</v>
      </c>
      <c r="E345" s="4" vm="1321">
        <f t="shared" si="14"/>
        <v>5184</v>
      </c>
      <c r="F345" s="4" t="str">
        <f t="shared" si="15"/>
        <v>Medium (&lt;10k)</v>
      </c>
    </row>
    <row r="346" spans="2:6" x14ac:dyDescent="0.2">
      <c r="B346" s="49" t="str" vm="140">
        <f>CUBEMEMBER("ThisWorkbookDataModel","[TPData].[Client].&amp;[Client 498]")</f>
        <v>Client 498</v>
      </c>
      <c r="C346" s="49" t="str" vm="814">
        <f>CUBEMEMBER("ThisWorkbookDataModel",{"[TPData].[Client].&amp;[Client 498]","[TPData].[Close Month].&amp;[2018-12-01T00:00:00]"})</f>
        <v>12/1/2018</v>
      </c>
      <c r="D346" s="49" t="str">
        <f>INDEX(TPData[Sales Rep],MATCH('Deal Size Analysis'!$B346,TPData[Client],FALSE))</f>
        <v>Rep 15</v>
      </c>
      <c r="E346" s="4" vm="1254">
        <f t="shared" si="14"/>
        <v>4622.3999999999996</v>
      </c>
      <c r="F346" s="4" t="str">
        <f t="shared" si="15"/>
        <v>Small (&lt;5k)</v>
      </c>
    </row>
    <row r="347" spans="2:6" x14ac:dyDescent="0.2">
      <c r="B347" s="49" t="str" vm="533">
        <f>CUBEMEMBER("ThisWorkbookDataModel","[TPData].[Client].&amp;[Client 499]")</f>
        <v>Client 499</v>
      </c>
      <c r="C347" s="49" t="str" vm="339">
        <f>CUBEMEMBER("ThisWorkbookDataModel",{"[TPData].[Client].&amp;[Client 499]","[TPData].[Close Month].&amp;[2018-12-01T00:00:00]"})</f>
        <v>12/1/2018</v>
      </c>
      <c r="D347" s="49" t="str">
        <f>INDEX(TPData[Sales Rep],MATCH('Deal Size Analysis'!$B347,TPData[Client],FALSE))</f>
        <v>Rep 15</v>
      </c>
      <c r="E347" s="4" vm="1512">
        <f t="shared" si="14"/>
        <v>1872</v>
      </c>
      <c r="F347" s="4" t="str">
        <f t="shared" si="15"/>
        <v>Small (&lt;5k)</v>
      </c>
    </row>
    <row r="348" spans="2:6" x14ac:dyDescent="0.2">
      <c r="B348" s="49" t="str" vm="139">
        <f>CUBEMEMBER("ThisWorkbookDataModel","[TPData].[Client].&amp;[Client 50]")</f>
        <v>Client 50</v>
      </c>
      <c r="C348" s="49" t="str" vm="727">
        <f>CUBEMEMBER("ThisWorkbookDataModel",{"[TPData].[Client].&amp;[Client 50]","[TPData].[Close Month].&amp;[2018-08-01T00:00:00]"})</f>
        <v>8/1/2018</v>
      </c>
      <c r="D348" s="49" t="str">
        <f>INDEX(TPData[Sales Rep],MATCH('Deal Size Analysis'!$B348,TPData[Client],FALSE))</f>
        <v>Rep 27</v>
      </c>
      <c r="E348" s="4" vm="1205">
        <f t="shared" si="14"/>
        <v>7142.04</v>
      </c>
      <c r="F348" s="4" t="str">
        <f t="shared" si="15"/>
        <v>Medium (&lt;10k)</v>
      </c>
    </row>
    <row r="349" spans="2:6" x14ac:dyDescent="0.2">
      <c r="B349" s="49" t="str" vm="986">
        <f>CUBEMEMBER("ThisWorkbookDataModel","[TPData].[Client].&amp;[Client 500]")</f>
        <v>Client 500</v>
      </c>
      <c r="C349" s="49" t="str" vm="532">
        <f>CUBEMEMBER("ThisWorkbookDataModel",{"[TPData].[Client].&amp;[Client 500]","[TPData].[Close Month].&amp;[2018-12-01T00:00:00]"})</f>
        <v>12/1/2018</v>
      </c>
      <c r="D349" s="49" t="str">
        <f>INDEX(TPData[Sales Rep],MATCH('Deal Size Analysis'!$B349,TPData[Client],FALSE))</f>
        <v>Rep 15</v>
      </c>
      <c r="E349" s="4" vm="1091">
        <f t="shared" si="14"/>
        <v>10281.6</v>
      </c>
      <c r="F349" s="4" t="str">
        <f t="shared" si="15"/>
        <v>Large (&lt;20k)</v>
      </c>
    </row>
    <row r="350" spans="2:6" x14ac:dyDescent="0.2">
      <c r="B350" s="49" t="str" vm="138">
        <f>CUBEMEMBER("ThisWorkbookDataModel","[TPData].[Client].&amp;[Client 501]")</f>
        <v>Client 501</v>
      </c>
      <c r="C350" s="49" t="str" vm="338">
        <f>CUBEMEMBER("ThisWorkbookDataModel",{"[TPData].[Client].&amp;[Client 501]","[TPData].[Close Month].&amp;[2018-12-01T00:00:00]"})</f>
        <v>12/1/2018</v>
      </c>
      <c r="D350" s="49" t="str">
        <f>INDEX(TPData[Sales Rep],MATCH('Deal Size Analysis'!$B350,TPData[Client],FALSE))</f>
        <v>Rep 15</v>
      </c>
      <c r="E350" s="4" vm="1513">
        <f t="shared" si="14"/>
        <v>11198.88</v>
      </c>
      <c r="F350" s="4" t="str">
        <f t="shared" si="15"/>
        <v>Large (&lt;20k)</v>
      </c>
    </row>
    <row r="351" spans="2:6" x14ac:dyDescent="0.2">
      <c r="B351" s="49" t="str" vm="899">
        <f>CUBEMEMBER("ThisWorkbookDataModel","[TPData].[Client].&amp;[Client 502]")</f>
        <v>Client 502</v>
      </c>
      <c r="C351" s="49" t="str" vm="813">
        <f>CUBEMEMBER("ThisWorkbookDataModel",{"[TPData].[Client].&amp;[Client 502]","[TPData].[Close Month].&amp;[2019-01-01T00:00:00]"})</f>
        <v>1/1/2019</v>
      </c>
      <c r="D351" s="49" t="str">
        <f>INDEX(TPData[Sales Rep],MATCH('Deal Size Analysis'!$B351,TPData[Client],FALSE))</f>
        <v>Rep 15</v>
      </c>
      <c r="E351" s="4" vm="1253">
        <f t="shared" si="14"/>
        <v>5875.2</v>
      </c>
      <c r="F351" s="4" t="str">
        <f t="shared" si="15"/>
        <v>Medium (&lt;10k)</v>
      </c>
    </row>
    <row r="352" spans="2:6" x14ac:dyDescent="0.2">
      <c r="B352" s="49" t="str" vm="137">
        <f>CUBEMEMBER("ThisWorkbookDataModel","[TPData].[Client].&amp;[Client 503]")</f>
        <v>Client 503</v>
      </c>
      <c r="C352" s="49" t="str" vm="531">
        <f>CUBEMEMBER("ThisWorkbookDataModel",{"[TPData].[Client].&amp;[Client 503]","[TPData].[Close Month].&amp;[2019-01-01T00:00:00]"})</f>
        <v>1/1/2019</v>
      </c>
      <c r="D352" s="49" t="str">
        <f>INDEX(TPData[Sales Rep],MATCH('Deal Size Analysis'!$B352,TPData[Client],FALSE))</f>
        <v>Rep 15</v>
      </c>
      <c r="E352" s="4" vm="1090">
        <f t="shared" si="14"/>
        <v>2842.84944</v>
      </c>
      <c r="F352" s="4" t="str">
        <f t="shared" si="15"/>
        <v>Small (&lt;5k)</v>
      </c>
    </row>
    <row r="353" spans="2:6" x14ac:dyDescent="0.2">
      <c r="B353" s="49" t="str" vm="337">
        <f>CUBEMEMBER("ThisWorkbookDataModel","[TPData].[Client].&amp;[Client 504]")</f>
        <v>Client 504</v>
      </c>
      <c r="C353" s="49" t="str" vm="726">
        <f>CUBEMEMBER("ThisWorkbookDataModel",{"[TPData].[Client].&amp;[Client 504]","[TPData].[Close Month].&amp;[2019-01-01T00:00:00]"})</f>
        <v>1/1/2019</v>
      </c>
      <c r="D353" s="49" t="str">
        <f>INDEX(TPData[Sales Rep],MATCH('Deal Size Analysis'!$B353,TPData[Client],FALSE))</f>
        <v>Rep 15</v>
      </c>
      <c r="E353" s="4" vm="1204">
        <f t="shared" si="14"/>
        <v>28812.960000000003</v>
      </c>
      <c r="F353" s="4" t="str">
        <f t="shared" si="15"/>
        <v>Mega (20k+)</v>
      </c>
    </row>
    <row r="354" spans="2:6" x14ac:dyDescent="0.2">
      <c r="B354" s="49" t="str" vm="136">
        <f>CUBEMEMBER("ThisWorkbookDataModel","[TPData].[Client].&amp;[Client 505]")</f>
        <v>Client 505</v>
      </c>
      <c r="C354" s="49" t="str" vm="985">
        <f>CUBEMEMBER("ThisWorkbookDataModel",{"[TPData].[Client].&amp;[Client 505]","[TPData].[Close Month].&amp;[2019-01-01T00:00:00]"})</f>
        <v>1/1/2019</v>
      </c>
      <c r="D354" s="49" t="str">
        <f>INDEX(TPData[Sales Rep],MATCH('Deal Size Analysis'!$B354,TPData[Client],FALSE))</f>
        <v>Rep 15</v>
      </c>
      <c r="E354" s="4" vm="1373">
        <f t="shared" si="14"/>
        <v>10977.12</v>
      </c>
      <c r="F354" s="4" t="str">
        <f t="shared" si="15"/>
        <v>Large (&lt;20k)</v>
      </c>
    </row>
    <row r="355" spans="2:6" x14ac:dyDescent="0.2">
      <c r="B355" s="49" t="str" vm="530">
        <f>CUBEMEMBER("ThisWorkbookDataModel","[TPData].[Client].&amp;[Client 506]")</f>
        <v>Client 506</v>
      </c>
      <c r="C355" s="49" t="str" vm="336">
        <f>CUBEMEMBER("ThisWorkbookDataModel",{"[TPData].[Client].&amp;[Client 506]","[TPData].[Close Month].&amp;[2019-02-01T00:00:00]"})</f>
        <v>2/1/2019</v>
      </c>
      <c r="D355" s="49" t="str">
        <f>INDEX(TPData[Sales Rep],MATCH('Deal Size Analysis'!$B355,TPData[Client],FALSE))</f>
        <v>Rep 15</v>
      </c>
      <c r="E355" s="4" vm="1514">
        <f t="shared" si="14"/>
        <v>25974.748799999998</v>
      </c>
      <c r="F355" s="4" t="str">
        <f t="shared" si="15"/>
        <v>Mega (20k+)</v>
      </c>
    </row>
    <row r="356" spans="2:6" x14ac:dyDescent="0.2">
      <c r="B356" s="49" t="str" vm="135">
        <f>CUBEMEMBER("ThisWorkbookDataModel","[TPData].[Client].&amp;[Client 507]")</f>
        <v>Client 507</v>
      </c>
      <c r="C356" s="49" t="str" vm="898">
        <f>CUBEMEMBER("ThisWorkbookDataModel",{"[TPData].[Client].&amp;[Client 507]","[TPData].[Close Month].&amp;[2019-02-01T00:00:00]"})</f>
        <v>2/1/2019</v>
      </c>
      <c r="D356" s="49" t="str">
        <f>INDEX(TPData[Sales Rep],MATCH('Deal Size Analysis'!$B356,TPData[Client],FALSE))</f>
        <v>Rep 15</v>
      </c>
      <c r="E356" s="4" vm="1320">
        <f t="shared" si="14"/>
        <v>3888</v>
      </c>
      <c r="F356" s="4" t="str">
        <f t="shared" si="15"/>
        <v>Small (&lt;5k)</v>
      </c>
    </row>
    <row r="357" spans="2:6" x14ac:dyDescent="0.2">
      <c r="B357" s="49" t="str" vm="812">
        <f>CUBEMEMBER("ThisWorkbookDataModel","[TPData].[Client].&amp;[Client 508]")</f>
        <v>Client 508</v>
      </c>
      <c r="C357" s="49" t="str" vm="529">
        <f>CUBEMEMBER("ThisWorkbookDataModel",{"[TPData].[Client].&amp;[Client 508]","[TPData].[Close Month].&amp;[2019-03-01T00:00:00]"})</f>
        <v>3/1/2019</v>
      </c>
      <c r="D357" s="49" t="str">
        <f>INDEX(TPData[Sales Rep],MATCH('Deal Size Analysis'!$B357,TPData[Client],FALSE))</f>
        <v>Rep 15</v>
      </c>
      <c r="E357" s="4" vm="1357">
        <f t="shared" si="14"/>
        <v>6480</v>
      </c>
      <c r="F357" s="4" t="str">
        <f t="shared" si="15"/>
        <v>Medium (&lt;10k)</v>
      </c>
    </row>
    <row r="358" spans="2:6" x14ac:dyDescent="0.2">
      <c r="B358" s="49" t="str" vm="134">
        <f>CUBEMEMBER("ThisWorkbookDataModel","[TPData].[Client].&amp;[Client 509]")</f>
        <v>Client 509</v>
      </c>
      <c r="C358" s="49" t="str" vm="335">
        <f>CUBEMEMBER("ThisWorkbookDataModel",{"[TPData].[Client].&amp;[Client 509]","[TPData].[Close Month].&amp;[2019-03-01T00:00:00]"})</f>
        <v>3/1/2019</v>
      </c>
      <c r="D358" s="49" t="str">
        <f>INDEX(TPData[Sales Rep],MATCH('Deal Size Analysis'!$B358,TPData[Client],FALSE))</f>
        <v>Rep 15</v>
      </c>
      <c r="E358" s="4" vm="1515">
        <f t="shared" si="14"/>
        <v>1638</v>
      </c>
      <c r="F358" s="4" t="str">
        <f t="shared" si="15"/>
        <v>Small (&lt;5k)</v>
      </c>
    </row>
    <row r="359" spans="2:6" x14ac:dyDescent="0.2">
      <c r="B359" s="49" t="str" vm="725">
        <f>CUBEMEMBER("ThisWorkbookDataModel","[TPData].[Client].&amp;[Client 51]")</f>
        <v>Client 51</v>
      </c>
      <c r="C359" s="49" t="str" vm="984">
        <f>CUBEMEMBER("ThisWorkbookDataModel",{"[TPData].[Client].&amp;[Client 51]","[TPData].[Close Month].&amp;[2018-08-01T00:00:00]"})</f>
        <v>8/1/2018</v>
      </c>
      <c r="D359" s="49" t="str">
        <f>INDEX(TPData[Sales Rep],MATCH('Deal Size Analysis'!$B359,TPData[Client],FALSE))</f>
        <v>Rep 27</v>
      </c>
      <c r="E359" s="4" vm="1372">
        <f t="shared" si="14"/>
        <v>2280</v>
      </c>
      <c r="F359" s="4" t="str">
        <f t="shared" si="15"/>
        <v>Small (&lt;5k)</v>
      </c>
    </row>
    <row r="360" spans="2:6" x14ac:dyDescent="0.2">
      <c r="B360" s="49" t="str" vm="133">
        <f>CUBEMEMBER("ThisWorkbookDataModel","[TPData].[Client].&amp;[Client 510]")</f>
        <v>Client 510</v>
      </c>
      <c r="C360" s="49" t="str" vm="528">
        <f>CUBEMEMBER("ThisWorkbookDataModel",{"[TPData].[Client].&amp;[Client 510]","[TPData].[Close Month].&amp;[2019-03-01T00:00:00]"})</f>
        <v>3/1/2019</v>
      </c>
      <c r="D360" s="49" t="str">
        <f>INDEX(TPData[Sales Rep],MATCH('Deal Size Analysis'!$B360,TPData[Client],FALSE))</f>
        <v>Rep 15</v>
      </c>
      <c r="E360" s="4" vm="1089">
        <f t="shared" si="14"/>
        <v>3816</v>
      </c>
      <c r="F360" s="4" t="str">
        <f t="shared" si="15"/>
        <v>Small (&lt;5k)</v>
      </c>
    </row>
    <row r="361" spans="2:6" x14ac:dyDescent="0.2">
      <c r="B361" s="49" t="str" vm="334">
        <f>CUBEMEMBER("ThisWorkbookDataModel","[TPData].[Client].&amp;[Client 511]")</f>
        <v>Client 511</v>
      </c>
      <c r="C361" s="49" t="str" vm="897">
        <f>CUBEMEMBER("ThisWorkbookDataModel",{"[TPData].[Client].&amp;[Client 511]","[TPData].[Close Month].&amp;[2019-03-01T00:00:00]"})</f>
        <v>3/1/2019</v>
      </c>
      <c r="D361" s="49" t="str">
        <f>INDEX(TPData[Sales Rep],MATCH('Deal Size Analysis'!$B361,TPData[Client],FALSE))</f>
        <v>Rep 15</v>
      </c>
      <c r="E361" s="4" vm="1319">
        <f t="shared" si="14"/>
        <v>3852</v>
      </c>
      <c r="F361" s="4" t="str">
        <f t="shared" si="15"/>
        <v>Small (&lt;5k)</v>
      </c>
    </row>
    <row r="362" spans="2:6" x14ac:dyDescent="0.2">
      <c r="B362" s="49" t="str" vm="132">
        <f>CUBEMEMBER("ThisWorkbookDataModel","[TPData].[Client].&amp;[Client 512]")</f>
        <v>Client 512</v>
      </c>
      <c r="C362" s="49" t="str" vm="811">
        <f>CUBEMEMBER("ThisWorkbookDataModel",{"[TPData].[Client].&amp;[Client 512]","[TPData].[Close Month].&amp;[2019-03-01T00:00:00]"})</f>
        <v>3/1/2019</v>
      </c>
      <c r="D362" s="49" t="str">
        <f>INDEX(TPData[Sales Rep],MATCH('Deal Size Analysis'!$B362,TPData[Client],FALSE))</f>
        <v>Rep 15</v>
      </c>
      <c r="E362" s="4" vm="1252">
        <f t="shared" si="14"/>
        <v>13968</v>
      </c>
      <c r="F362" s="4" t="str">
        <f t="shared" si="15"/>
        <v>Large (&lt;20k)</v>
      </c>
    </row>
    <row r="363" spans="2:6" x14ac:dyDescent="0.2">
      <c r="B363" s="49" t="str" vm="527">
        <f>CUBEMEMBER("ThisWorkbookDataModel","[TPData].[Client].&amp;[Client 513]")</f>
        <v>Client 513</v>
      </c>
      <c r="C363" s="49" t="str" vm="333">
        <f>CUBEMEMBER("ThisWorkbookDataModel",{"[TPData].[Client].&amp;[Client 513]","[TPData].[Close Month].&amp;[2019-03-01T00:00:00]"})</f>
        <v>3/1/2019</v>
      </c>
      <c r="D363" s="49" t="str">
        <f>INDEX(TPData[Sales Rep],MATCH('Deal Size Analysis'!$B363,TPData[Client],FALSE))</f>
        <v>Rep 15</v>
      </c>
      <c r="E363" s="4" vm="1516">
        <f t="shared" si="14"/>
        <v>10713.6</v>
      </c>
      <c r="F363" s="4" t="str">
        <f t="shared" si="15"/>
        <v>Large (&lt;20k)</v>
      </c>
    </row>
    <row r="364" spans="2:6" x14ac:dyDescent="0.2">
      <c r="B364" s="49" t="str" vm="131">
        <f>CUBEMEMBER("ThisWorkbookDataModel","[TPData].[Client].&amp;[Client 514]")</f>
        <v>Client 514</v>
      </c>
      <c r="C364" s="49" t="str" vm="724">
        <f>CUBEMEMBER("ThisWorkbookDataModel",{"[TPData].[Client].&amp;[Client 514]","[TPData].[Close Month].&amp;[2019-04-01T00:00:00]"})</f>
        <v>4/1/2019</v>
      </c>
      <c r="D364" s="49" t="str">
        <f>INDEX(TPData[Sales Rep],MATCH('Deal Size Analysis'!$B364,TPData[Client],FALSE))</f>
        <v>Rep 15</v>
      </c>
      <c r="E364" s="4" vm="1203">
        <f t="shared" si="14"/>
        <v>1540.8</v>
      </c>
      <c r="F364" s="4" t="str">
        <f t="shared" si="15"/>
        <v>Small (&lt;5k)</v>
      </c>
    </row>
    <row r="365" spans="2:6" x14ac:dyDescent="0.2">
      <c r="B365" s="49" t="str" vm="983">
        <f>CUBEMEMBER("ThisWorkbookDataModel","[TPData].[Client].&amp;[Client 515]")</f>
        <v>Client 515</v>
      </c>
      <c r="C365" s="49" t="str" vm="526">
        <f>CUBEMEMBER("ThisWorkbookDataModel",{"[TPData].[Client].&amp;[Client 515]","[TPData].[Close Month].&amp;[2019-04-01T00:00:00]"})</f>
        <v>4/1/2019</v>
      </c>
      <c r="D365" s="49" t="str">
        <f>INDEX(TPData[Sales Rep],MATCH('Deal Size Analysis'!$B365,TPData[Client],FALSE))</f>
        <v>Rep 15</v>
      </c>
      <c r="E365" s="4" vm="1088">
        <f t="shared" si="14"/>
        <v>6350.4</v>
      </c>
      <c r="F365" s="4" t="str">
        <f t="shared" si="15"/>
        <v>Medium (&lt;10k)</v>
      </c>
    </row>
    <row r="366" spans="2:6" x14ac:dyDescent="0.2">
      <c r="B366" s="49" t="str" vm="130">
        <f>CUBEMEMBER("ThisWorkbookDataModel","[TPData].[Client].&amp;[Client 516]")</f>
        <v>Client 516</v>
      </c>
      <c r="C366" s="49" t="str" vm="332">
        <f>CUBEMEMBER("ThisWorkbookDataModel",{"[TPData].[Client].&amp;[Client 516]","[TPData].[Close Month].&amp;[2019-04-01T00:00:00]"})</f>
        <v>4/1/2019</v>
      </c>
      <c r="D366" s="49" t="str">
        <f>INDEX(TPData[Sales Rep],MATCH('Deal Size Analysis'!$B366,TPData[Client],FALSE))</f>
        <v>Rep 15</v>
      </c>
      <c r="E366" s="4" vm="1517">
        <f t="shared" si="14"/>
        <v>1425.6</v>
      </c>
      <c r="F366" s="4" t="str">
        <f t="shared" si="15"/>
        <v>Small (&lt;5k)</v>
      </c>
    </row>
    <row r="367" spans="2:6" x14ac:dyDescent="0.2">
      <c r="B367" s="49" t="str" vm="896">
        <f>CUBEMEMBER("ThisWorkbookDataModel","[TPData].[Client].&amp;[Client 517]")</f>
        <v>Client 517</v>
      </c>
      <c r="C367" s="49" t="str" vm="810">
        <f>CUBEMEMBER("ThisWorkbookDataModel",{"[TPData].[Client].&amp;[Client 517]","[TPData].[Close Month].&amp;[2019-04-01T00:00:00]"})</f>
        <v>4/1/2019</v>
      </c>
      <c r="D367" s="49" t="str">
        <f>INDEX(TPData[Sales Rep],MATCH('Deal Size Analysis'!$B367,TPData[Client],FALSE))</f>
        <v>Rep 15</v>
      </c>
      <c r="E367" s="4" vm="1251">
        <f t="shared" si="14"/>
        <v>11649.456</v>
      </c>
      <c r="F367" s="4" t="str">
        <f t="shared" si="15"/>
        <v>Large (&lt;20k)</v>
      </c>
    </row>
    <row r="368" spans="2:6" x14ac:dyDescent="0.2">
      <c r="B368" s="49" t="str" vm="129">
        <f>CUBEMEMBER("ThisWorkbookDataModel","[TPData].[Client].&amp;[Client 518]")</f>
        <v>Client 518</v>
      </c>
      <c r="C368" s="49" t="str" vm="525">
        <f>CUBEMEMBER("ThisWorkbookDataModel",{"[TPData].[Client].&amp;[Client 518]","[TPData].[Close Month].&amp;[2019-04-01T00:00:00]"})</f>
        <v>4/1/2019</v>
      </c>
      <c r="D368" s="49" t="str">
        <f>INDEX(TPData[Sales Rep],MATCH('Deal Size Analysis'!$B368,TPData[Client],FALSE))</f>
        <v>Rep 15</v>
      </c>
      <c r="E368" s="4" vm="1087">
        <f t="shared" si="14"/>
        <v>662.4</v>
      </c>
      <c r="F368" s="4" t="str">
        <f t="shared" si="15"/>
        <v>Small (&lt;5k)</v>
      </c>
    </row>
    <row r="369" spans="2:6" x14ac:dyDescent="0.2">
      <c r="B369" s="49" t="str" vm="331">
        <f>CUBEMEMBER("ThisWorkbookDataModel","[TPData].[Client].&amp;[Client 519]")</f>
        <v>Client 519</v>
      </c>
      <c r="C369" s="49" t="str" vm="723">
        <f>CUBEMEMBER("ThisWorkbookDataModel",{"[TPData].[Client].&amp;[Client 519]","[TPData].[Close Month].&amp;[2019-05-01T00:00:00]"})</f>
        <v>5/1/2019</v>
      </c>
      <c r="D369" s="49" t="str">
        <f>INDEX(TPData[Sales Rep],MATCH('Deal Size Analysis'!$B369,TPData[Client],FALSE))</f>
        <v>Rep 15</v>
      </c>
      <c r="E369" s="4" vm="1202">
        <f t="shared" si="14"/>
        <v>12852</v>
      </c>
      <c r="F369" s="4" t="str">
        <f t="shared" si="15"/>
        <v>Large (&lt;20k)</v>
      </c>
    </row>
    <row r="370" spans="2:6" x14ac:dyDescent="0.2">
      <c r="B370" s="49" t="str" vm="128">
        <f>CUBEMEMBER("ThisWorkbookDataModel","[TPData].[Client].&amp;[Client 52]")</f>
        <v>Client 52</v>
      </c>
      <c r="C370" s="49" t="str" vm="982">
        <f>CUBEMEMBER("ThisWorkbookDataModel",{"[TPData].[Client].&amp;[Client 52]","[TPData].[Close Month].&amp;[2018-09-01T00:00:00]"})</f>
        <v>9/1/2018</v>
      </c>
      <c r="D370" s="49" t="str">
        <f>INDEX(TPData[Sales Rep],MATCH('Deal Size Analysis'!$B370,TPData[Client],FALSE))</f>
        <v>Rep 27</v>
      </c>
      <c r="E370" s="4" vm="1371">
        <f t="shared" si="14"/>
        <v>1272</v>
      </c>
      <c r="F370" s="4" t="str">
        <f t="shared" si="15"/>
        <v>Small (&lt;5k)</v>
      </c>
    </row>
    <row r="371" spans="2:6" x14ac:dyDescent="0.2">
      <c r="B371" s="49" t="str" vm="524">
        <f>CUBEMEMBER("ThisWorkbookDataModel","[TPData].[Client].&amp;[Client 520]")</f>
        <v>Client 520</v>
      </c>
      <c r="C371" s="49" t="str" vm="330">
        <f>CUBEMEMBER("ThisWorkbookDataModel",{"[TPData].[Client].&amp;[Client 520]","[TPData].[Close Month].&amp;[2019-05-01T00:00:00]"})</f>
        <v>5/1/2019</v>
      </c>
      <c r="D371" s="49" t="str">
        <f>INDEX(TPData[Sales Rep],MATCH('Deal Size Analysis'!$B371,TPData[Client],FALSE))</f>
        <v>Rep 15</v>
      </c>
      <c r="E371" s="4" vm="1518">
        <f t="shared" si="14"/>
        <v>7344</v>
      </c>
      <c r="F371" s="4" t="str">
        <f t="shared" si="15"/>
        <v>Medium (&lt;10k)</v>
      </c>
    </row>
    <row r="372" spans="2:6" x14ac:dyDescent="0.2">
      <c r="B372" s="49" t="str" vm="127">
        <f>CUBEMEMBER("ThisWorkbookDataModel","[TPData].[Client].&amp;[Client 521]")</f>
        <v>Client 521</v>
      </c>
      <c r="C372" s="49" t="str" vm="895">
        <f>CUBEMEMBER("ThisWorkbookDataModel",{"[TPData].[Client].&amp;[Client 521]","[TPData].[Close Month].&amp;[2019-05-01T00:00:00]"})</f>
        <v>5/1/2019</v>
      </c>
      <c r="D372" s="49" t="str">
        <f>INDEX(TPData[Sales Rep],MATCH('Deal Size Analysis'!$B372,TPData[Client],FALSE))</f>
        <v>Rep 15</v>
      </c>
      <c r="E372" s="4" vm="1318">
        <f t="shared" si="14"/>
        <v>6674.4</v>
      </c>
      <c r="F372" s="4" t="str">
        <f t="shared" si="15"/>
        <v>Medium (&lt;10k)</v>
      </c>
    </row>
    <row r="373" spans="2:6" x14ac:dyDescent="0.2">
      <c r="B373" s="49" t="str" vm="809">
        <f>CUBEMEMBER("ThisWorkbookDataModel","[TPData].[Client].&amp;[Client 522]")</f>
        <v>Client 522</v>
      </c>
      <c r="C373" s="49" t="str" vm="523">
        <f>CUBEMEMBER("ThisWorkbookDataModel",{"[TPData].[Client].&amp;[Client 522]","[TPData].[Close Month].&amp;[2019-05-01T00:00:00]"})</f>
        <v>5/1/2019</v>
      </c>
      <c r="D373" s="49" t="str">
        <f>INDEX(TPData[Sales Rep],MATCH('Deal Size Analysis'!$B373,TPData[Client],FALSE))</f>
        <v>Rep 15</v>
      </c>
      <c r="E373" s="4" vm="1086">
        <f t="shared" si="14"/>
        <v>6300.0504000000001</v>
      </c>
      <c r="F373" s="4" t="str">
        <f t="shared" si="15"/>
        <v>Medium (&lt;10k)</v>
      </c>
    </row>
    <row r="374" spans="2:6" x14ac:dyDescent="0.2">
      <c r="B374" s="49" t="str" vm="126">
        <f>CUBEMEMBER("ThisWorkbookDataModel","[TPData].[Client].&amp;[Client 523]")</f>
        <v>Client 523</v>
      </c>
      <c r="C374" s="49" t="str" vm="329">
        <f>CUBEMEMBER("ThisWorkbookDataModel",{"[TPData].[Client].&amp;[Client 523]","[TPData].[Close Month].&amp;[2019-05-01T00:00:00]"})</f>
        <v>5/1/2019</v>
      </c>
      <c r="D374" s="49" t="str">
        <f>INDEX(TPData[Sales Rep],MATCH('Deal Size Analysis'!$B374,TPData[Client],FALSE))</f>
        <v>Rep 15</v>
      </c>
      <c r="E374" s="4" vm="1519">
        <f t="shared" si="14"/>
        <v>8910</v>
      </c>
      <c r="F374" s="4" t="str">
        <f t="shared" si="15"/>
        <v>Medium (&lt;10k)</v>
      </c>
    </row>
    <row r="375" spans="2:6" x14ac:dyDescent="0.2">
      <c r="B375" s="49" t="str" vm="722">
        <f>CUBEMEMBER("ThisWorkbookDataModel","[TPData].[Client].&amp;[Client 524]")</f>
        <v>Client 524</v>
      </c>
      <c r="C375" s="49" t="str" vm="981">
        <f>CUBEMEMBER("ThisWorkbookDataModel",{"[TPData].[Client].&amp;[Client 524]","[TPData].[Close Month].&amp;[2019-05-01T00:00:00]"})</f>
        <v>5/1/2019</v>
      </c>
      <c r="D375" s="49" t="str">
        <f>INDEX(TPData[Sales Rep],MATCH('Deal Size Analysis'!$B375,TPData[Client],FALSE))</f>
        <v>Rep 15</v>
      </c>
      <c r="E375" s="4" vm="1370">
        <f t="shared" si="14"/>
        <v>9576</v>
      </c>
      <c r="F375" s="4" t="str">
        <f t="shared" si="15"/>
        <v>Medium (&lt;10k)</v>
      </c>
    </row>
    <row r="376" spans="2:6" x14ac:dyDescent="0.2">
      <c r="B376" s="49" t="str" vm="125">
        <f>CUBEMEMBER("ThisWorkbookDataModel","[TPData].[Client].&amp;[Client 525]")</f>
        <v>Client 525</v>
      </c>
      <c r="C376" s="49" t="str" vm="522">
        <f>CUBEMEMBER("ThisWorkbookDataModel",{"[TPData].[Client].&amp;[Client 525]","[TPData].[Close Month].&amp;[2019-06-01T00:00:00]"})</f>
        <v>6/1/2019</v>
      </c>
      <c r="D376" s="49" t="str">
        <f>INDEX(TPData[Sales Rep],MATCH('Deal Size Analysis'!$B376,TPData[Client],FALSE))</f>
        <v>Rep 15</v>
      </c>
      <c r="E376" s="4" vm="1085">
        <f t="shared" si="14"/>
        <v>1710</v>
      </c>
      <c r="F376" s="4" t="str">
        <f t="shared" si="15"/>
        <v>Small (&lt;5k)</v>
      </c>
    </row>
    <row r="377" spans="2:6" x14ac:dyDescent="0.2">
      <c r="B377" s="49" t="str" vm="328">
        <f>CUBEMEMBER("ThisWorkbookDataModel","[TPData].[Client].&amp;[Client 526]")</f>
        <v>Client 526</v>
      </c>
      <c r="C377" s="49" t="str" vm="894">
        <f>CUBEMEMBER("ThisWorkbookDataModel",{"[TPData].[Client].&amp;[Client 526]","[TPData].[Close Month].&amp;[2019-06-01T00:00:00]"})</f>
        <v>6/1/2019</v>
      </c>
      <c r="D377" s="49" t="str">
        <f>INDEX(TPData[Sales Rep],MATCH('Deal Size Analysis'!$B377,TPData[Client],FALSE))</f>
        <v>Rep 15</v>
      </c>
      <c r="E377" s="4" vm="1317">
        <f t="shared" si="14"/>
        <v>2592</v>
      </c>
      <c r="F377" s="4" t="str">
        <f t="shared" si="15"/>
        <v>Small (&lt;5k)</v>
      </c>
    </row>
    <row r="378" spans="2:6" x14ac:dyDescent="0.2">
      <c r="B378" s="49" t="str" vm="124">
        <f>CUBEMEMBER("ThisWorkbookDataModel","[TPData].[Client].&amp;[Client 527]")</f>
        <v>Client 527</v>
      </c>
      <c r="C378" s="49" t="str" vm="808">
        <f>CUBEMEMBER("ThisWorkbookDataModel",{"[TPData].[Client].&amp;[Client 527]","[TPData].[Close Month].&amp;[2019-06-01T00:00:00]"})</f>
        <v>6/1/2019</v>
      </c>
      <c r="D378" s="49" t="str">
        <f>INDEX(TPData[Sales Rep],MATCH('Deal Size Analysis'!$B378,TPData[Client],FALSE))</f>
        <v>Rep 15</v>
      </c>
      <c r="E378" s="4" vm="1250">
        <f t="shared" si="14"/>
        <v>3960.0000000000005</v>
      </c>
      <c r="F378" s="4" t="str">
        <f t="shared" si="15"/>
        <v>Small (&lt;5k)</v>
      </c>
    </row>
    <row r="379" spans="2:6" x14ac:dyDescent="0.2">
      <c r="B379" s="49" t="str" vm="521">
        <f>CUBEMEMBER("ThisWorkbookDataModel","[TPData].[Client].&amp;[Client 528]")</f>
        <v>Client 528</v>
      </c>
      <c r="C379" s="49" t="str" vm="327">
        <f>CUBEMEMBER("ThisWorkbookDataModel",{"[TPData].[Client].&amp;[Client 528]","[TPData].[Close Month].&amp;[2019-06-01T00:00:00]"})</f>
        <v>6/1/2019</v>
      </c>
      <c r="D379" s="49" t="str">
        <f>INDEX(TPData[Sales Rep],MATCH('Deal Size Analysis'!$B379,TPData[Client],FALSE))</f>
        <v>Rep 15</v>
      </c>
      <c r="E379" s="4" vm="1520">
        <f t="shared" si="14"/>
        <v>9374.3999999999978</v>
      </c>
      <c r="F379" s="4" t="str">
        <f t="shared" si="15"/>
        <v>Medium (&lt;10k)</v>
      </c>
    </row>
    <row r="380" spans="2:6" x14ac:dyDescent="0.2">
      <c r="B380" s="49" t="str" vm="123">
        <f>CUBEMEMBER("ThisWorkbookDataModel","[TPData].[Client].&amp;[Client 529]")</f>
        <v>Client 529</v>
      </c>
      <c r="C380" s="49" t="str" vm="721">
        <f>CUBEMEMBER("ThisWorkbookDataModel",{"[TPData].[Client].&amp;[Client 529]","[TPData].[Close Month].&amp;[2019-06-01T00:00:00]"})</f>
        <v>6/1/2019</v>
      </c>
      <c r="D380" s="49" t="str">
        <f>INDEX(TPData[Sales Rep],MATCH('Deal Size Analysis'!$B380,TPData[Client],FALSE))</f>
        <v>Rep 15</v>
      </c>
      <c r="E380" s="4" vm="1305">
        <f t="shared" si="14"/>
        <v>5702.4</v>
      </c>
      <c r="F380" s="4" t="str">
        <f t="shared" si="15"/>
        <v>Medium (&lt;10k)</v>
      </c>
    </row>
    <row r="381" spans="2:6" x14ac:dyDescent="0.2">
      <c r="B381" s="49" t="str" vm="980">
        <f>CUBEMEMBER("ThisWorkbookDataModel","[TPData].[Client].&amp;[Client 53]")</f>
        <v>Client 53</v>
      </c>
      <c r="C381" s="49" t="str" vm="520">
        <f>CUBEMEMBER("ThisWorkbookDataModel",{"[TPData].[Client].&amp;[Client 53]","[TPData].[Close Month].&amp;[2018-09-01T00:00:00]"})</f>
        <v>9/1/2018</v>
      </c>
      <c r="D381" s="49" t="str">
        <f>INDEX(TPData[Sales Rep],MATCH('Deal Size Analysis'!$B381,TPData[Client],FALSE))</f>
        <v>Rep 27</v>
      </c>
      <c r="E381" s="4" vm="1084">
        <f t="shared" si="14"/>
        <v>2568</v>
      </c>
      <c r="F381" s="4" t="str">
        <f t="shared" si="15"/>
        <v>Small (&lt;5k)</v>
      </c>
    </row>
    <row r="382" spans="2:6" x14ac:dyDescent="0.2">
      <c r="B382" s="49" t="str" vm="122">
        <f>CUBEMEMBER("ThisWorkbookDataModel","[TPData].[Client].&amp;[Client 530]")</f>
        <v>Client 530</v>
      </c>
      <c r="C382" s="49" t="str" vm="326">
        <f>CUBEMEMBER("ThisWorkbookDataModel",{"[TPData].[Client].&amp;[Client 530]","[TPData].[Close Month].&amp;[2019-06-01T00:00:00]"})</f>
        <v>6/1/2019</v>
      </c>
      <c r="D382" s="49" t="str">
        <f>INDEX(TPData[Sales Rep],MATCH('Deal Size Analysis'!$B382,TPData[Client],FALSE))</f>
        <v>Rep 15</v>
      </c>
      <c r="E382" s="4" vm="1521">
        <f t="shared" si="14"/>
        <v>3708</v>
      </c>
      <c r="F382" s="4" t="str">
        <f t="shared" si="15"/>
        <v>Small (&lt;5k)</v>
      </c>
    </row>
    <row r="383" spans="2:6" x14ac:dyDescent="0.2">
      <c r="B383" s="49" t="str" vm="893">
        <f>CUBEMEMBER("ThisWorkbookDataModel","[TPData].[Client].&amp;[Client 531]")</f>
        <v>Client 531</v>
      </c>
      <c r="C383" s="49" t="str" vm="807">
        <f>CUBEMEMBER("ThisWorkbookDataModel",{"[TPData].[Client].&amp;[Client 531]","[TPData].[Close Month].&amp;[2019-06-01T00:00:00]"})</f>
        <v>6/1/2019</v>
      </c>
      <c r="D383" s="49" t="str">
        <f>INDEX(TPData[Sales Rep],MATCH('Deal Size Analysis'!$B383,TPData[Client],FALSE))</f>
        <v>Rep 15</v>
      </c>
      <c r="E383" s="4" vm="1249">
        <f t="shared" si="14"/>
        <v>2736</v>
      </c>
      <c r="F383" s="4" t="str">
        <f t="shared" si="15"/>
        <v>Small (&lt;5k)</v>
      </c>
    </row>
    <row r="384" spans="2:6" x14ac:dyDescent="0.2">
      <c r="B384" s="49" t="str" vm="121">
        <f>CUBEMEMBER("ThisWorkbookDataModel","[TPData].[Client].&amp;[Client 532]")</f>
        <v>Client 532</v>
      </c>
      <c r="C384" s="49" t="str" vm="519">
        <f>CUBEMEMBER("ThisWorkbookDataModel",{"[TPData].[Client].&amp;[Client 532]","[TPData].[Close Month].&amp;[2019-06-01T00:00:00]"})</f>
        <v>6/1/2019</v>
      </c>
      <c r="D384" s="49" t="str">
        <f>INDEX(TPData[Sales Rep],MATCH('Deal Size Analysis'!$B384,TPData[Client],FALSE))</f>
        <v>Rep 15</v>
      </c>
      <c r="E384" s="4" vm="1083">
        <f t="shared" si="14"/>
        <v>1113.8399999999999</v>
      </c>
      <c r="F384" s="4" t="str">
        <f t="shared" si="15"/>
        <v>Small (&lt;5k)</v>
      </c>
    </row>
    <row r="385" spans="2:6" x14ac:dyDescent="0.2">
      <c r="B385" s="49" t="str" vm="325">
        <f>CUBEMEMBER("ThisWorkbookDataModel","[TPData].[Client].&amp;[Client 54]")</f>
        <v>Client 54</v>
      </c>
      <c r="C385" s="49" t="str" vm="720">
        <f>CUBEMEMBER("ThisWorkbookDataModel",{"[TPData].[Client].&amp;[Client 54]","[TPData].[Close Month].&amp;[2018-09-01T00:00:00]"})</f>
        <v>9/1/2018</v>
      </c>
      <c r="D385" s="49" t="str">
        <f>INDEX(TPData[Sales Rep],MATCH('Deal Size Analysis'!$B385,TPData[Client],FALSE))</f>
        <v>Rep 27</v>
      </c>
      <c r="E385" s="4" vm="1201">
        <f t="shared" si="14"/>
        <v>7128</v>
      </c>
      <c r="F385" s="4" t="str">
        <f t="shared" si="15"/>
        <v>Medium (&lt;10k)</v>
      </c>
    </row>
    <row r="386" spans="2:6" x14ac:dyDescent="0.2">
      <c r="B386" s="49" t="str" vm="120">
        <f>CUBEMEMBER("ThisWorkbookDataModel","[TPData].[Client].&amp;[Client 55]")</f>
        <v>Client 55</v>
      </c>
      <c r="C386" s="49" t="str" vm="979">
        <f>CUBEMEMBER("ThisWorkbookDataModel",{"[TPData].[Client].&amp;[Client 55]","[TPData].[Close Month].&amp;[2018-09-01T00:00:00]"})</f>
        <v>9/1/2018</v>
      </c>
      <c r="D386" s="49" t="str">
        <f>INDEX(TPData[Sales Rep],MATCH('Deal Size Analysis'!$B386,TPData[Client],FALSE))</f>
        <v>Rep 27</v>
      </c>
      <c r="E386" s="4" vm="1369">
        <f t="shared" si="14"/>
        <v>5076</v>
      </c>
      <c r="F386" s="4" t="str">
        <f t="shared" si="15"/>
        <v>Medium (&lt;10k)</v>
      </c>
    </row>
    <row r="387" spans="2:6" x14ac:dyDescent="0.2">
      <c r="B387" s="49" t="str" vm="518">
        <f>CUBEMEMBER("ThisWorkbookDataModel","[TPData].[Client].&amp;[Client 56]")</f>
        <v>Client 56</v>
      </c>
      <c r="C387" s="49" t="str" vm="324">
        <f>CUBEMEMBER("ThisWorkbookDataModel",{"[TPData].[Client].&amp;[Client 56]","[TPData].[Close Month].&amp;[2018-09-01T00:00:00]"})</f>
        <v>9/1/2018</v>
      </c>
      <c r="D387" s="49" t="str">
        <f>INDEX(TPData[Sales Rep],MATCH('Deal Size Analysis'!$B387,TPData[Client],FALSE))</f>
        <v>Rep 27</v>
      </c>
      <c r="E387" s="4" vm="1522">
        <f t="shared" si="14"/>
        <v>1339.1999999999998</v>
      </c>
      <c r="F387" s="4" t="str">
        <f t="shared" si="15"/>
        <v>Small (&lt;5k)</v>
      </c>
    </row>
    <row r="388" spans="2:6" x14ac:dyDescent="0.2">
      <c r="B388" s="49" t="str" vm="119">
        <f>CUBEMEMBER("ThisWorkbookDataModel","[TPData].[Client].&amp;[Client 564]")</f>
        <v>Client 564</v>
      </c>
      <c r="C388" s="49" t="str" vm="892">
        <f>CUBEMEMBER("ThisWorkbookDataModel",{"[TPData].[Client].&amp;[Client 564]","[TPData].[Close Month].&amp;[2018-08-01T00:00:00]"})</f>
        <v>8/1/2018</v>
      </c>
      <c r="D388" s="49" t="str">
        <f>INDEX(TPData[Sales Rep],MATCH('Deal Size Analysis'!$B388,TPData[Client],FALSE))</f>
        <v>Rep 36</v>
      </c>
      <c r="E388" s="4" vm="1316">
        <f t="shared" si="14"/>
        <v>2820</v>
      </c>
      <c r="F388" s="4" t="str">
        <f t="shared" si="15"/>
        <v>Small (&lt;5k)</v>
      </c>
    </row>
    <row r="389" spans="2:6" x14ac:dyDescent="0.2">
      <c r="B389" s="49" t="str" vm="806">
        <f>CUBEMEMBER("ThisWorkbookDataModel","[TPData].[Client].&amp;[Client 565]")</f>
        <v>Client 565</v>
      </c>
      <c r="C389" s="49" t="str" vm="517">
        <f>CUBEMEMBER("ThisWorkbookDataModel",{"[TPData].[Client].&amp;[Client 565]","[TPData].[Close Month].&amp;[2018-09-01T00:00:00]"})</f>
        <v>9/1/2018</v>
      </c>
      <c r="D389" s="49" t="str">
        <f>INDEX(TPData[Sales Rep],MATCH('Deal Size Analysis'!$B389,TPData[Client],FALSE))</f>
        <v>Rep 36</v>
      </c>
      <c r="E389" s="4" vm="1082">
        <f t="shared" ref="E389:E452" si="16">CUBEVALUE("ThisWorkbookDataModel",$C389,E$4)</f>
        <v>2880</v>
      </c>
      <c r="F389" s="4" t="str">
        <f t="shared" si="15"/>
        <v>Small (&lt;5k)</v>
      </c>
    </row>
    <row r="390" spans="2:6" x14ac:dyDescent="0.2">
      <c r="B390" s="49" t="str" vm="118">
        <f>CUBEMEMBER("ThisWorkbookDataModel","[TPData].[Client].&amp;[Client 566]")</f>
        <v>Client 566</v>
      </c>
      <c r="C390" s="49" t="str" vm="323">
        <f>CUBEMEMBER("ThisWorkbookDataModel",{"[TPData].[Client].&amp;[Client 566]","[TPData].[Close Month].&amp;[2018-10-01T00:00:00]"})</f>
        <v>10/1/2018</v>
      </c>
      <c r="D390" s="49" t="str">
        <f>INDEX(TPData[Sales Rep],MATCH('Deal Size Analysis'!$B390,TPData[Client],FALSE))</f>
        <v>Rep 36</v>
      </c>
      <c r="E390" s="4" vm="1523">
        <f t="shared" si="16"/>
        <v>5450.0436</v>
      </c>
      <c r="F390" s="4" t="str">
        <f t="shared" ref="F390:F453" si="17">IF(E390&lt;=5000,$H$9,IF((E390&lt;10000),$H$10,IF((E390&lt;20000),$H$11,IF((E390&gt;=20000),$H$12))))</f>
        <v>Medium (&lt;10k)</v>
      </c>
    </row>
    <row r="391" spans="2:6" x14ac:dyDescent="0.2">
      <c r="B391" s="49" t="str" vm="719">
        <f>CUBEMEMBER("ThisWorkbookDataModel","[TPData].[Client].&amp;[Client 567]")</f>
        <v>Client 567</v>
      </c>
      <c r="C391" s="49" t="str" vm="978">
        <f>CUBEMEMBER("ThisWorkbookDataModel",{"[TPData].[Client].&amp;[Client 567]","[TPData].[Close Month].&amp;[2018-10-01T00:00:00]"})</f>
        <v>10/1/2018</v>
      </c>
      <c r="D391" s="49" t="str">
        <f>INDEX(TPData[Sales Rep],MATCH('Deal Size Analysis'!$B391,TPData[Client],FALSE))</f>
        <v>Rep 36</v>
      </c>
      <c r="E391" s="4" vm="1368">
        <f t="shared" si="16"/>
        <v>588</v>
      </c>
      <c r="F391" s="4" t="str">
        <f t="shared" si="17"/>
        <v>Small (&lt;5k)</v>
      </c>
    </row>
    <row r="392" spans="2:6" x14ac:dyDescent="0.2">
      <c r="B392" s="49" t="str" vm="117">
        <f>CUBEMEMBER("ThisWorkbookDataModel","[TPData].[Client].&amp;[Client 568]")</f>
        <v>Client 568</v>
      </c>
      <c r="C392" s="49" t="str" vm="516">
        <f>CUBEMEMBER("ThisWorkbookDataModel",{"[TPData].[Client].&amp;[Client 568]","[TPData].[Close Month].&amp;[2018-10-01T00:00:00]"})</f>
        <v>10/1/2018</v>
      </c>
      <c r="D392" s="49" t="str">
        <f>INDEX(TPData[Sales Rep],MATCH('Deal Size Analysis'!$B392,TPData[Client],FALSE))</f>
        <v>Rep 36</v>
      </c>
      <c r="E392" s="4" vm="1081">
        <f t="shared" si="16"/>
        <v>570</v>
      </c>
      <c r="F392" s="4" t="str">
        <f t="shared" si="17"/>
        <v>Small (&lt;5k)</v>
      </c>
    </row>
    <row r="393" spans="2:6" x14ac:dyDescent="0.2">
      <c r="B393" s="49" t="str" vm="322">
        <f>CUBEMEMBER("ThisWorkbookDataModel","[TPData].[Client].&amp;[Client 569]")</f>
        <v>Client 569</v>
      </c>
      <c r="C393" s="49" t="str" vm="891">
        <f>CUBEMEMBER("ThisWorkbookDataModel",{"[TPData].[Client].&amp;[Client 569]","[TPData].[Close Month].&amp;[2018-10-01T00:00:00]"})</f>
        <v>10/1/2018</v>
      </c>
      <c r="D393" s="49" t="str">
        <f>INDEX(TPData[Sales Rep],MATCH('Deal Size Analysis'!$B393,TPData[Client],FALSE))</f>
        <v>Rep 36</v>
      </c>
      <c r="E393" s="4" vm="1315">
        <f t="shared" si="16"/>
        <v>7848.0000000000009</v>
      </c>
      <c r="F393" s="4" t="str">
        <f t="shared" si="17"/>
        <v>Medium (&lt;10k)</v>
      </c>
    </row>
    <row r="394" spans="2:6" x14ac:dyDescent="0.2">
      <c r="B394" s="49" t="str" vm="116">
        <f>CUBEMEMBER("ThisWorkbookDataModel","[TPData].[Client].&amp;[Client 57]")</f>
        <v>Client 57</v>
      </c>
      <c r="C394" s="49" t="str" vm="708">
        <f>CUBEMEMBER("ThisWorkbookDataModel",{"[TPData].[Client].&amp;[Client 57]","[TPData].[Close Month].&amp;[2018-10-01T00:00:00]"})</f>
        <v>10/1/2018</v>
      </c>
      <c r="D394" s="49" t="str">
        <f>INDEX(TPData[Sales Rep],MATCH('Deal Size Analysis'!$B394,TPData[Client],FALSE))</f>
        <v>Rep 27</v>
      </c>
      <c r="E394" s="4" vm="1189">
        <f t="shared" si="16"/>
        <v>4100.3999999999996</v>
      </c>
      <c r="F394" s="4" t="str">
        <f t="shared" si="17"/>
        <v>Small (&lt;5k)</v>
      </c>
    </row>
    <row r="395" spans="2:6" x14ac:dyDescent="0.2">
      <c r="B395" s="49" t="str" vm="515">
        <f>CUBEMEMBER("ThisWorkbookDataModel","[TPData].[Client].&amp;[Client 570]")</f>
        <v>Client 570</v>
      </c>
      <c r="C395" s="49" t="str" vm="321">
        <f>CUBEMEMBER("ThisWorkbookDataModel",{"[TPData].[Client].&amp;[Client 570]","[TPData].[Close Month].&amp;[2018-11-01T00:00:00]"})</f>
        <v>11/1/2018</v>
      </c>
      <c r="D395" s="49" t="str">
        <f>INDEX(TPData[Sales Rep],MATCH('Deal Size Analysis'!$B395,TPData[Client],FALSE))</f>
        <v>Rep 36</v>
      </c>
      <c r="E395" s="4" vm="1524">
        <f t="shared" si="16"/>
        <v>5150.0411999999997</v>
      </c>
      <c r="F395" s="4" t="str">
        <f t="shared" si="17"/>
        <v>Medium (&lt;10k)</v>
      </c>
    </row>
    <row r="396" spans="2:6" x14ac:dyDescent="0.2">
      <c r="B396" s="49" t="str" vm="115">
        <f>CUBEMEMBER("ThisWorkbookDataModel","[TPData].[Client].&amp;[Client 571]")</f>
        <v>Client 571</v>
      </c>
      <c r="C396" s="49" t="str" vm="805">
        <f>CUBEMEMBER("ThisWorkbookDataModel",{"[TPData].[Client].&amp;[Client 571]","[TPData].[Close Month].&amp;[2018-11-01T00:00:00]"})</f>
        <v>11/1/2018</v>
      </c>
      <c r="D396" s="49" t="str">
        <f>INDEX(TPData[Sales Rep],MATCH('Deal Size Analysis'!$B396,TPData[Client],FALSE))</f>
        <v>Rep 36</v>
      </c>
      <c r="E396" s="4" vm="1248">
        <f t="shared" si="16"/>
        <v>4608</v>
      </c>
      <c r="F396" s="4" t="str">
        <f t="shared" si="17"/>
        <v>Small (&lt;5k)</v>
      </c>
    </row>
    <row r="397" spans="2:6" x14ac:dyDescent="0.2">
      <c r="B397" s="49" t="str" vm="707">
        <f>CUBEMEMBER("ThisWorkbookDataModel","[TPData].[Client].&amp;[Client 572]")</f>
        <v>Client 572</v>
      </c>
      <c r="C397" s="49" t="str" vm="514">
        <f>CUBEMEMBER("ThisWorkbookDataModel",{"[TPData].[Client].&amp;[Client 572]","[TPData].[Close Month].&amp;[2018-11-01T00:00:00]"})</f>
        <v>11/1/2018</v>
      </c>
      <c r="D397" s="49" t="str">
        <f>INDEX(TPData[Sales Rep],MATCH('Deal Size Analysis'!$B397,TPData[Client],FALSE))</f>
        <v>Rep 36</v>
      </c>
      <c r="E397" s="4" vm="1080">
        <f t="shared" si="16"/>
        <v>3852</v>
      </c>
      <c r="F397" s="4" t="str">
        <f t="shared" si="17"/>
        <v>Small (&lt;5k)</v>
      </c>
    </row>
    <row r="398" spans="2:6" x14ac:dyDescent="0.2">
      <c r="B398" s="49" t="str" vm="114">
        <f>CUBEMEMBER("ThisWorkbookDataModel","[TPData].[Client].&amp;[Client 573]")</f>
        <v>Client 573</v>
      </c>
      <c r="C398" s="49" t="str" vm="320">
        <f>CUBEMEMBER("ThisWorkbookDataModel",{"[TPData].[Client].&amp;[Client 573]","[TPData].[Close Month].&amp;[2018-12-01T00:00:00]"})</f>
        <v>12/1/2018</v>
      </c>
      <c r="D398" s="49" t="str">
        <f>INDEX(TPData[Sales Rep],MATCH('Deal Size Analysis'!$B398,TPData[Client],FALSE))</f>
        <v>Rep 36</v>
      </c>
      <c r="E398" s="4" vm="1525">
        <f t="shared" si="16"/>
        <v>1911</v>
      </c>
      <c r="F398" s="4" t="str">
        <f t="shared" si="17"/>
        <v>Small (&lt;5k)</v>
      </c>
    </row>
    <row r="399" spans="2:6" x14ac:dyDescent="0.2">
      <c r="B399" s="49" t="str" vm="718">
        <f>CUBEMEMBER("ThisWorkbookDataModel","[TPData].[Client].&amp;[Client 574]")</f>
        <v>Client 574</v>
      </c>
      <c r="C399" s="49" t="str" vm="706">
        <f>CUBEMEMBER("ThisWorkbookDataModel",{"[TPData].[Client].&amp;[Client 574]","[TPData].[Close Month].&amp;[2018-12-01T00:00:00]"})</f>
        <v>12/1/2018</v>
      </c>
      <c r="D399" s="49" t="str">
        <f>INDEX(TPData[Sales Rep],MATCH('Deal Size Analysis'!$B399,TPData[Client],FALSE))</f>
        <v>Rep 36</v>
      </c>
      <c r="E399" s="4" vm="1188">
        <f t="shared" si="16"/>
        <v>7020.0432000000001</v>
      </c>
      <c r="F399" s="4" t="str">
        <f t="shared" si="17"/>
        <v>Medium (&lt;10k)</v>
      </c>
    </row>
    <row r="400" spans="2:6" x14ac:dyDescent="0.2">
      <c r="B400" s="49" t="str" vm="113">
        <f>CUBEMEMBER("ThisWorkbookDataModel","[TPData].[Client].&amp;[Client 575]")</f>
        <v>Client 575</v>
      </c>
      <c r="C400" s="49" t="str" vm="513">
        <f>CUBEMEMBER("ThisWorkbookDataModel",{"[TPData].[Client].&amp;[Client 575]","[TPData].[Close Month].&amp;[2018-12-01T00:00:00]"})</f>
        <v>12/1/2018</v>
      </c>
      <c r="D400" s="49" t="str">
        <f>INDEX(TPData[Sales Rep],MATCH('Deal Size Analysis'!$B400,TPData[Client],FALSE))</f>
        <v>Rep 36</v>
      </c>
      <c r="E400" s="4" vm="1079">
        <f t="shared" si="16"/>
        <v>1092</v>
      </c>
      <c r="F400" s="4" t="str">
        <f t="shared" si="17"/>
        <v>Small (&lt;5k)</v>
      </c>
    </row>
    <row r="401" spans="2:6" x14ac:dyDescent="0.2">
      <c r="B401" s="49" t="str" vm="319">
        <f>CUBEMEMBER("ThisWorkbookDataModel","[TPData].[Client].&amp;[Client 576]")</f>
        <v>Client 576</v>
      </c>
      <c r="C401" s="49" t="str" vm="977">
        <f>CUBEMEMBER("ThisWorkbookDataModel",{"[TPData].[Client].&amp;[Client 576]","[TPData].[Close Month].&amp;[2018-12-01T00:00:00]"})</f>
        <v>12/1/2018</v>
      </c>
      <c r="D401" s="49" t="str">
        <f>INDEX(TPData[Sales Rep],MATCH('Deal Size Analysis'!$B401,TPData[Client],FALSE))</f>
        <v>Rep 36</v>
      </c>
      <c r="E401" s="4" vm="1367">
        <f t="shared" si="16"/>
        <v>1365</v>
      </c>
      <c r="F401" s="4" t="str">
        <f t="shared" si="17"/>
        <v>Small (&lt;5k)</v>
      </c>
    </row>
    <row r="402" spans="2:6" x14ac:dyDescent="0.2">
      <c r="B402" s="49" t="str" vm="112">
        <f>CUBEMEMBER("ThisWorkbookDataModel","[TPData].[Client].&amp;[Client 577]")</f>
        <v>Client 577</v>
      </c>
      <c r="C402" s="49" t="str" vm="705">
        <f>CUBEMEMBER("ThisWorkbookDataModel",{"[TPData].[Client].&amp;[Client 577]","[TPData].[Close Month].&amp;[2018-12-01T00:00:00]"})</f>
        <v>12/1/2018</v>
      </c>
      <c r="D402" s="49" t="str">
        <f>INDEX(TPData[Sales Rep],MATCH('Deal Size Analysis'!$B402,TPData[Client],FALSE))</f>
        <v>Rep 36</v>
      </c>
      <c r="E402" s="4" vm="1187">
        <f t="shared" si="16"/>
        <v>12960</v>
      </c>
      <c r="F402" s="4" t="str">
        <f t="shared" si="17"/>
        <v>Large (&lt;20k)</v>
      </c>
    </row>
    <row r="403" spans="2:6" x14ac:dyDescent="0.2">
      <c r="B403" s="49" t="str" vm="512">
        <f>CUBEMEMBER("ThisWorkbookDataModel","[TPData].[Client].&amp;[Client 578]")</f>
        <v>Client 578</v>
      </c>
      <c r="C403" s="49" t="str" vm="318">
        <f>CUBEMEMBER("ThisWorkbookDataModel",{"[TPData].[Client].&amp;[Client 578]","[TPData].[Close Month].&amp;[2019-01-01T00:00:00]"})</f>
        <v>1/1/2019</v>
      </c>
      <c r="D403" s="49" t="str">
        <f>INDEX(TPData[Sales Rep],MATCH('Deal Size Analysis'!$B403,TPData[Client],FALSE))</f>
        <v>Rep 36</v>
      </c>
      <c r="E403" s="4" vm="1526">
        <f t="shared" si="16"/>
        <v>13080.000000000002</v>
      </c>
      <c r="F403" s="4" t="str">
        <f t="shared" si="17"/>
        <v>Large (&lt;20k)</v>
      </c>
    </row>
    <row r="404" spans="2:6" x14ac:dyDescent="0.2">
      <c r="B404" s="49" t="str" vm="111">
        <f>CUBEMEMBER("ThisWorkbookDataModel","[TPData].[Client].&amp;[Client 579]")</f>
        <v>Client 579</v>
      </c>
      <c r="C404" s="49" t="str" vm="890">
        <f>CUBEMEMBER("ThisWorkbookDataModel",{"[TPData].[Client].&amp;[Client 579]","[TPData].[Close Month].&amp;[2019-02-01T00:00:00]"})</f>
        <v>2/1/2019</v>
      </c>
      <c r="D404" s="49" t="str">
        <f>INDEX(TPData[Sales Rep],MATCH('Deal Size Analysis'!$B404,TPData[Client],FALSE))</f>
        <v>Rep 36</v>
      </c>
      <c r="E404" s="4" vm="1314">
        <f t="shared" si="16"/>
        <v>6120</v>
      </c>
      <c r="F404" s="4" t="str">
        <f t="shared" si="17"/>
        <v>Medium (&lt;10k)</v>
      </c>
    </row>
    <row r="405" spans="2:6" x14ac:dyDescent="0.2">
      <c r="B405" s="49" t="str" vm="704">
        <f>CUBEMEMBER("ThisWorkbookDataModel","[TPData].[Client].&amp;[Client 58]")</f>
        <v>Client 58</v>
      </c>
      <c r="C405" s="49" t="str" vm="511">
        <f>CUBEMEMBER("ThisWorkbookDataModel",{"[TPData].[Client].&amp;[Client 58]","[TPData].[Close Month].&amp;[2018-10-01T00:00:00]"})</f>
        <v>10/1/2018</v>
      </c>
      <c r="D405" s="49" t="str">
        <f>INDEX(TPData[Sales Rep],MATCH('Deal Size Analysis'!$B405,TPData[Client],FALSE))</f>
        <v>Rep 27</v>
      </c>
      <c r="E405" s="4" vm="1155">
        <f t="shared" si="16"/>
        <v>17820</v>
      </c>
      <c r="F405" s="4" t="str">
        <f t="shared" si="17"/>
        <v>Large (&lt;20k)</v>
      </c>
    </row>
    <row r="406" spans="2:6" x14ac:dyDescent="0.2">
      <c r="B406" s="49" t="str" vm="110">
        <f>CUBEMEMBER("ThisWorkbookDataModel","[TPData].[Client].&amp;[Client 580]")</f>
        <v>Client 580</v>
      </c>
      <c r="C406" s="49" t="str" vm="317">
        <f>CUBEMEMBER("ThisWorkbookDataModel",{"[TPData].[Client].&amp;[Client 580]","[TPData].[Close Month].&amp;[2019-02-01T00:00:00]"})</f>
        <v>2/1/2019</v>
      </c>
      <c r="D406" s="49" t="str">
        <f>INDEX(TPData[Sales Rep],MATCH('Deal Size Analysis'!$B406,TPData[Client],FALSE))</f>
        <v>Rep 36</v>
      </c>
      <c r="E406" s="4" vm="1527">
        <f t="shared" si="16"/>
        <v>5562</v>
      </c>
      <c r="F406" s="4" t="str">
        <f t="shared" si="17"/>
        <v>Medium (&lt;10k)</v>
      </c>
    </row>
    <row r="407" spans="2:6" x14ac:dyDescent="0.2">
      <c r="B407" s="49" t="str" vm="804">
        <f>CUBEMEMBER("ThisWorkbookDataModel","[TPData].[Client].&amp;[Client 581]")</f>
        <v>Client 581</v>
      </c>
      <c r="C407" s="49" t="str" vm="703">
        <f>CUBEMEMBER("ThisWorkbookDataModel",{"[TPData].[Client].&amp;[Client 581]","[TPData].[Close Month].&amp;[2019-02-01T00:00:00]"})</f>
        <v>2/1/2019</v>
      </c>
      <c r="D407" s="49" t="str">
        <f>INDEX(TPData[Sales Rep],MATCH('Deal Size Analysis'!$B407,TPData[Client],FALSE))</f>
        <v>Rep 36</v>
      </c>
      <c r="E407" s="4" vm="1186">
        <f t="shared" si="16"/>
        <v>5250.0420000000004</v>
      </c>
      <c r="F407" s="4" t="str">
        <f t="shared" si="17"/>
        <v>Medium (&lt;10k)</v>
      </c>
    </row>
    <row r="408" spans="2:6" x14ac:dyDescent="0.2">
      <c r="B408" s="49" t="str" vm="109">
        <f>CUBEMEMBER("ThisWorkbookDataModel","[TPData].[Client].&amp;[Client 582]")</f>
        <v>Client 582</v>
      </c>
      <c r="C408" s="49" t="str" vm="510">
        <f>CUBEMEMBER("ThisWorkbookDataModel",{"[TPData].[Client].&amp;[Client 582]","[TPData].[Close Month].&amp;[2019-02-01T00:00:00]"})</f>
        <v>2/1/2019</v>
      </c>
      <c r="D408" s="49" t="str">
        <f>INDEX(TPData[Sales Rep],MATCH('Deal Size Analysis'!$B408,TPData[Client],FALSE))</f>
        <v>Rep 36</v>
      </c>
      <c r="E408" s="4" vm="1078">
        <f t="shared" si="16"/>
        <v>7425</v>
      </c>
      <c r="F408" s="4" t="str">
        <f t="shared" si="17"/>
        <v>Medium (&lt;10k)</v>
      </c>
    </row>
    <row r="409" spans="2:6" x14ac:dyDescent="0.2">
      <c r="B409" s="49" t="str" vm="316">
        <f>CUBEMEMBER("ThisWorkbookDataModel","[TPData].[Client].&amp;[Client 583]")</f>
        <v>Client 583</v>
      </c>
      <c r="C409" s="49" t="str" vm="717">
        <f>CUBEMEMBER("ThisWorkbookDataModel",{"[TPData].[Client].&amp;[Client 583]","[TPData].[Close Month].&amp;[2019-02-01T00:00:00]"})</f>
        <v>2/1/2019</v>
      </c>
      <c r="D409" s="49" t="str">
        <f>INDEX(TPData[Sales Rep],MATCH('Deal Size Analysis'!$B409,TPData[Client],FALSE))</f>
        <v>Rep 36</v>
      </c>
      <c r="E409" s="4" vm="1200">
        <f t="shared" si="16"/>
        <v>7980</v>
      </c>
      <c r="F409" s="4" t="str">
        <f t="shared" si="17"/>
        <v>Medium (&lt;10k)</v>
      </c>
    </row>
    <row r="410" spans="2:6" x14ac:dyDescent="0.2">
      <c r="B410" s="49" t="str" vm="108">
        <f>CUBEMEMBER("ThisWorkbookDataModel","[TPData].[Client].&amp;[Client 584]")</f>
        <v>Client 584</v>
      </c>
      <c r="C410" s="49" t="str" vm="702">
        <f>CUBEMEMBER("ThisWorkbookDataModel",{"[TPData].[Client].&amp;[Client 584]","[TPData].[Close Month].&amp;[2019-03-01T00:00:00]"})</f>
        <v>3/1/2019</v>
      </c>
      <c r="D410" s="49" t="str">
        <f>INDEX(TPData[Sales Rep],MATCH('Deal Size Analysis'!$B410,TPData[Client],FALSE))</f>
        <v>Rep 36</v>
      </c>
      <c r="E410" s="4" vm="1185">
        <f t="shared" si="16"/>
        <v>1116</v>
      </c>
      <c r="F410" s="4" t="str">
        <f t="shared" si="17"/>
        <v>Small (&lt;5k)</v>
      </c>
    </row>
    <row r="411" spans="2:6" x14ac:dyDescent="0.2">
      <c r="B411" s="49" t="str" vm="509">
        <f>CUBEMEMBER("ThisWorkbookDataModel","[TPData].[Client].&amp;[Client 585]")</f>
        <v>Client 585</v>
      </c>
      <c r="C411" s="49" t="str" vm="315">
        <f>CUBEMEMBER("ThisWorkbookDataModel",{"[TPData].[Client].&amp;[Client 585]","[TPData].[Close Month].&amp;[2019-03-01T00:00:00]"})</f>
        <v>3/1/2019</v>
      </c>
      <c r="D411" s="49" t="str">
        <f>INDEX(TPData[Sales Rep],MATCH('Deal Size Analysis'!$B411,TPData[Client],FALSE))</f>
        <v>Rep 36</v>
      </c>
      <c r="E411" s="4" vm="1528">
        <f t="shared" si="16"/>
        <v>1944.0000000000002</v>
      </c>
      <c r="F411" s="4" t="str">
        <f t="shared" si="17"/>
        <v>Small (&lt;5k)</v>
      </c>
    </row>
    <row r="412" spans="2:6" x14ac:dyDescent="0.2">
      <c r="B412" s="49" t="str" vm="107">
        <f>CUBEMEMBER("ThisWorkbookDataModel","[TPData].[Client].&amp;[Client 586]")</f>
        <v>Client 586</v>
      </c>
      <c r="C412" s="49" t="str" vm="976">
        <f>CUBEMEMBER("ThisWorkbookDataModel",{"[TPData].[Client].&amp;[Client 586]","[TPData].[Close Month].&amp;[2019-03-01T00:00:00]"})</f>
        <v>3/1/2019</v>
      </c>
      <c r="D412" s="49" t="str">
        <f>INDEX(TPData[Sales Rep],MATCH('Deal Size Analysis'!$B412,TPData[Client],FALSE))</f>
        <v>Rep 36</v>
      </c>
      <c r="E412" s="4" vm="1366">
        <f t="shared" si="16"/>
        <v>3990</v>
      </c>
      <c r="F412" s="4" t="str">
        <f t="shared" si="17"/>
        <v>Small (&lt;5k)</v>
      </c>
    </row>
    <row r="413" spans="2:6" x14ac:dyDescent="0.2">
      <c r="B413" s="49" t="str" vm="701">
        <f>CUBEMEMBER("ThisWorkbookDataModel","[TPData].[Client].&amp;[Client 587]")</f>
        <v>Client 587</v>
      </c>
      <c r="C413" s="49" t="str" vm="508">
        <f>CUBEMEMBER("ThisWorkbookDataModel",{"[TPData].[Client].&amp;[Client 587]","[TPData].[Close Month].&amp;[2019-03-01T00:00:00]"})</f>
        <v>3/1/2019</v>
      </c>
      <c r="D413" s="49" t="str">
        <f>INDEX(TPData[Sales Rep],MATCH('Deal Size Analysis'!$B413,TPData[Client],FALSE))</f>
        <v>Rep 36</v>
      </c>
      <c r="E413" s="4" vm="1077">
        <f t="shared" si="16"/>
        <v>2910</v>
      </c>
      <c r="F413" s="4" t="str">
        <f t="shared" si="17"/>
        <v>Small (&lt;5k)</v>
      </c>
    </row>
    <row r="414" spans="2:6" x14ac:dyDescent="0.2">
      <c r="B414" s="49" t="str" vm="106">
        <f>CUBEMEMBER("ThisWorkbookDataModel","[TPData].[Client].&amp;[Client 588]")</f>
        <v>Client 588</v>
      </c>
      <c r="C414" s="49" t="str" vm="314">
        <f>CUBEMEMBER("ThisWorkbookDataModel",{"[TPData].[Client].&amp;[Client 588]","[TPData].[Close Month].&amp;[2019-03-01T00:00:00]"})</f>
        <v>3/1/2019</v>
      </c>
      <c r="D414" s="49" t="str">
        <f>INDEX(TPData[Sales Rep],MATCH('Deal Size Analysis'!$B414,TPData[Client],FALSE))</f>
        <v>Rep 36</v>
      </c>
      <c r="E414" s="4" vm="1529">
        <f t="shared" si="16"/>
        <v>3270.0000000000005</v>
      </c>
      <c r="F414" s="4" t="str">
        <f t="shared" si="17"/>
        <v>Small (&lt;5k)</v>
      </c>
    </row>
    <row r="415" spans="2:6" x14ac:dyDescent="0.2">
      <c r="B415" s="49" t="str" vm="889">
        <f>CUBEMEMBER("ThisWorkbookDataModel","[TPData].[Client].&amp;[Client 589]")</f>
        <v>Client 589</v>
      </c>
      <c r="C415" s="49" t="str" vm="700">
        <f>CUBEMEMBER("ThisWorkbookDataModel",{"[TPData].[Client].&amp;[Client 589]","[TPData].[Close Month].&amp;[2019-04-01T00:00:00]"})</f>
        <v>4/1/2019</v>
      </c>
      <c r="D415" s="49" t="str">
        <f>INDEX(TPData[Sales Rep],MATCH('Deal Size Analysis'!$B415,TPData[Client],FALSE))</f>
        <v>Rep 36</v>
      </c>
      <c r="E415" s="4" vm="1184">
        <f t="shared" si="16"/>
        <v>7896</v>
      </c>
      <c r="F415" s="4" t="str">
        <f t="shared" si="17"/>
        <v>Medium (&lt;10k)</v>
      </c>
    </row>
    <row r="416" spans="2:6" x14ac:dyDescent="0.2">
      <c r="B416" s="49" t="str" vm="105">
        <f>CUBEMEMBER("ThisWorkbookDataModel","[TPData].[Client].&amp;[Client 59]")</f>
        <v>Client 59</v>
      </c>
      <c r="C416" s="49" t="str" vm="507">
        <f>CUBEMEMBER("ThisWorkbookDataModel",{"[TPData].[Client].&amp;[Client 59]","[TPData].[Close Month].&amp;[2018-10-01T00:00:00]"})</f>
        <v>10/1/2018</v>
      </c>
      <c r="D416" s="49" t="str">
        <f>INDEX(TPData[Sales Rep],MATCH('Deal Size Analysis'!$B416,TPData[Client],FALSE))</f>
        <v>Rep 27</v>
      </c>
      <c r="E416" s="4" vm="1076">
        <f t="shared" si="16"/>
        <v>970</v>
      </c>
      <c r="F416" s="4" t="str">
        <f t="shared" si="17"/>
        <v>Small (&lt;5k)</v>
      </c>
    </row>
    <row r="417" spans="2:6" x14ac:dyDescent="0.2">
      <c r="B417" s="49" t="str" vm="313">
        <f>CUBEMEMBER("ThisWorkbookDataModel","[TPData].[Client].&amp;[Client 590]")</f>
        <v>Client 590</v>
      </c>
      <c r="C417" s="49" t="str" vm="803">
        <f>CUBEMEMBER("ThisWorkbookDataModel",{"[TPData].[Client].&amp;[Client 590]","[TPData].[Close Month].&amp;[2019-04-01T00:00:00]"})</f>
        <v>4/1/2019</v>
      </c>
      <c r="D417" s="49" t="str">
        <f>INDEX(TPData[Sales Rep],MATCH('Deal Size Analysis'!$B417,TPData[Client],FALSE))</f>
        <v>Rep 36</v>
      </c>
      <c r="E417" s="4" vm="1247">
        <f t="shared" si="16"/>
        <v>5623.8</v>
      </c>
      <c r="F417" s="4" t="str">
        <f t="shared" si="17"/>
        <v>Medium (&lt;10k)</v>
      </c>
    </row>
    <row r="418" spans="2:6" x14ac:dyDescent="0.2">
      <c r="B418" s="49" t="str" vm="104">
        <f>CUBEMEMBER("ThisWorkbookDataModel","[TPData].[Client].&amp;[Client 591]")</f>
        <v>Client 591</v>
      </c>
      <c r="C418" s="49" t="str" vm="699">
        <f>CUBEMEMBER("ThisWorkbookDataModel",{"[TPData].[Client].&amp;[Client 591]","[TPData].[Close Month].&amp;[2019-04-01T00:00:00]"})</f>
        <v>4/1/2019</v>
      </c>
      <c r="D418" s="49" t="str">
        <f>INDEX(TPData[Sales Rep],MATCH('Deal Size Analysis'!$B418,TPData[Client],FALSE))</f>
        <v>Rep 36</v>
      </c>
      <c r="E418" s="4" vm="1183">
        <f t="shared" si="16"/>
        <v>2328</v>
      </c>
      <c r="F418" s="4" t="str">
        <f t="shared" si="17"/>
        <v>Small (&lt;5k)</v>
      </c>
    </row>
    <row r="419" spans="2:6" x14ac:dyDescent="0.2">
      <c r="B419" s="49" t="str" vm="506">
        <f>CUBEMEMBER("ThisWorkbookDataModel","[TPData].[Client].&amp;[Client 592]")</f>
        <v>Client 592</v>
      </c>
      <c r="C419" s="49" t="str" vm="312">
        <f>CUBEMEMBER("ThisWorkbookDataModel",{"[TPData].[Client].&amp;[Client 592]","[TPData].[Close Month].&amp;[2019-05-01T00:00:00]"})</f>
        <v>5/1/2019</v>
      </c>
      <c r="D419" s="49" t="str">
        <f>INDEX(TPData[Sales Rep],MATCH('Deal Size Analysis'!$B419,TPData[Client],FALSE))</f>
        <v>Rep 36</v>
      </c>
      <c r="E419" s="4" vm="1530">
        <f t="shared" si="16"/>
        <v>1425</v>
      </c>
      <c r="F419" s="4" t="str">
        <f t="shared" si="17"/>
        <v>Small (&lt;5k)</v>
      </c>
    </row>
    <row r="420" spans="2:6" x14ac:dyDescent="0.2">
      <c r="B420" s="49" t="str" vm="103">
        <f>CUBEMEMBER("ThisWorkbookDataModel","[TPData].[Client].&amp;[Client 593]")</f>
        <v>Client 593</v>
      </c>
      <c r="C420" s="49" t="str" vm="716">
        <f>CUBEMEMBER("ThisWorkbookDataModel",{"[TPData].[Client].&amp;[Client 593]","[TPData].[Close Month].&amp;[2019-05-01T00:00:00]"})</f>
        <v>5/1/2019</v>
      </c>
      <c r="D420" s="49" t="str">
        <f>INDEX(TPData[Sales Rep],MATCH('Deal Size Analysis'!$B420,TPData[Client],FALSE))</f>
        <v>Rep 36</v>
      </c>
      <c r="E420" s="4" vm="1199">
        <f t="shared" si="16"/>
        <v>2160</v>
      </c>
      <c r="F420" s="4" t="str">
        <f t="shared" si="17"/>
        <v>Small (&lt;5k)</v>
      </c>
    </row>
    <row r="421" spans="2:6" x14ac:dyDescent="0.2">
      <c r="B421" s="49" t="str" vm="698">
        <f>CUBEMEMBER("ThisWorkbookDataModel","[TPData].[Client].&amp;[Client 594]")</f>
        <v>Client 594</v>
      </c>
      <c r="C421" s="49" t="str" vm="505">
        <f>CUBEMEMBER("ThisWorkbookDataModel",{"[TPData].[Client].&amp;[Client 594]","[TPData].[Close Month].&amp;[2019-06-01T00:00:00]"})</f>
        <v>6/1/2019</v>
      </c>
      <c r="D421" s="49" t="str">
        <f>INDEX(TPData[Sales Rep],MATCH('Deal Size Analysis'!$B421,TPData[Client],FALSE))</f>
        <v>Rep 36</v>
      </c>
      <c r="E421" s="4" vm="1190">
        <f t="shared" si="16"/>
        <v>3300.0000000000005</v>
      </c>
      <c r="F421" s="4" t="str">
        <f t="shared" si="17"/>
        <v>Small (&lt;5k)</v>
      </c>
    </row>
    <row r="422" spans="2:6" x14ac:dyDescent="0.2">
      <c r="B422" s="49" t="str" vm="102">
        <f>CUBEMEMBER("ThisWorkbookDataModel","[TPData].[Client].&amp;[Client 595]")</f>
        <v>Client 595</v>
      </c>
      <c r="C422" s="49" t="str" vm="311">
        <f>CUBEMEMBER("ThisWorkbookDataModel",{"[TPData].[Client].&amp;[Client 595]","[TPData].[Close Month].&amp;[2019-06-01T00:00:00]"})</f>
        <v>6/1/2019</v>
      </c>
      <c r="D422" s="49" t="str">
        <f>INDEX(TPData[Sales Rep],MATCH('Deal Size Analysis'!$B422,TPData[Client],FALSE))</f>
        <v>Rep 36</v>
      </c>
      <c r="E422" s="4" vm="1531">
        <f t="shared" si="16"/>
        <v>7811.9999999999991</v>
      </c>
      <c r="F422" s="4" t="str">
        <f t="shared" si="17"/>
        <v>Medium (&lt;10k)</v>
      </c>
    </row>
    <row r="423" spans="2:6" x14ac:dyDescent="0.2">
      <c r="B423" s="49" t="str" vm="62">
        <f>CUBEMEMBER("ThisWorkbookDataModel","[TPData].[Client].&amp;[Client 596]")</f>
        <v>Client 596</v>
      </c>
      <c r="C423" s="49" t="str" vm="975">
        <f>CUBEMEMBER("ThisWorkbookDataModel",{"[TPData].[Client].&amp;[Client 596]","[TPData].[Close Month].&amp;[2019-06-01T00:00:00]"})</f>
        <v>6/1/2019</v>
      </c>
      <c r="D423" s="49" t="str">
        <f>INDEX(TPData[Sales Rep],MATCH('Deal Size Analysis'!$B423,TPData[Client],FALSE))</f>
        <v>Rep 36</v>
      </c>
      <c r="E423" s="4" vm="1365">
        <f t="shared" si="16"/>
        <v>4752</v>
      </c>
      <c r="F423" s="4" t="str">
        <f t="shared" si="17"/>
        <v>Small (&lt;5k)</v>
      </c>
    </row>
    <row r="424" spans="2:6" x14ac:dyDescent="0.2">
      <c r="B424" s="49" t="str" vm="697">
        <f>CUBEMEMBER("ThisWorkbookDataModel","[TPData].[Client].&amp;[Client 597]")</f>
        <v>Client 597</v>
      </c>
      <c r="C424" s="49" t="str" vm="101">
        <f>CUBEMEMBER("ThisWorkbookDataModel",{"[TPData].[Client].&amp;[Client 597]","[TPData].[Close Month].&amp;[2018-08-01T00:00:00]"})</f>
        <v>8/1/2018</v>
      </c>
      <c r="D424" s="49" t="str">
        <f>INDEX(TPData[Sales Rep],MATCH('Deal Size Analysis'!$B424,TPData[Client],FALSE))</f>
        <v>Rep 18</v>
      </c>
      <c r="E424" s="4" vm="1547">
        <f t="shared" si="16"/>
        <v>3402</v>
      </c>
      <c r="F424" s="4" t="str">
        <f t="shared" si="17"/>
        <v>Small (&lt;5k)</v>
      </c>
    </row>
    <row r="425" spans="2:6" x14ac:dyDescent="0.2">
      <c r="B425" s="49" t="str" vm="61">
        <f>CUBEMEMBER("ThisWorkbookDataModel","[TPData].[Client].&amp;[Client 598]")</f>
        <v>Client 598</v>
      </c>
      <c r="C425" s="49" t="str" vm="504">
        <f>CUBEMEMBER("ThisWorkbookDataModel",{"[TPData].[Client].&amp;[Client 598]","[TPData].[Close Month].&amp;[2018-09-01T00:00:00]"})</f>
        <v>9/1/2018</v>
      </c>
      <c r="D425" s="49" t="str">
        <f>INDEX(TPData[Sales Rep],MATCH('Deal Size Analysis'!$B425,TPData[Client],FALSE))</f>
        <v>Rep 18</v>
      </c>
      <c r="E425" s="4" vm="1075">
        <f t="shared" si="16"/>
        <v>5533.1618400000007</v>
      </c>
      <c r="F425" s="4" t="str">
        <f t="shared" si="17"/>
        <v>Medium (&lt;10k)</v>
      </c>
    </row>
    <row r="426" spans="2:6" x14ac:dyDescent="0.2">
      <c r="B426" s="49" t="str" vm="310">
        <f>CUBEMEMBER("ThisWorkbookDataModel","[TPData].[Client].&amp;[Client 599]")</f>
        <v>Client 599</v>
      </c>
      <c r="C426" s="49" t="str" vm="888">
        <f>CUBEMEMBER("ThisWorkbookDataModel",{"[TPData].[Client].&amp;[Client 599]","[TPData].[Close Month].&amp;[2018-09-01T00:00:00]"})</f>
        <v>9/1/2018</v>
      </c>
      <c r="D426" s="49" t="str">
        <f>INDEX(TPData[Sales Rep],MATCH('Deal Size Analysis'!$B426,TPData[Client],FALSE))</f>
        <v>Rep 18</v>
      </c>
      <c r="E426" s="4" vm="1313">
        <f t="shared" si="16"/>
        <v>4914</v>
      </c>
      <c r="F426" s="4" t="str">
        <f t="shared" si="17"/>
        <v>Small (&lt;5k)</v>
      </c>
    </row>
    <row r="427" spans="2:6" x14ac:dyDescent="0.2">
      <c r="B427" s="49" t="str" vm="60">
        <f>CUBEMEMBER("ThisWorkbookDataModel","[TPData].[Client].&amp;[Client 60]")</f>
        <v>Client 60</v>
      </c>
      <c r="C427" s="49" t="str" vm="100">
        <f>CUBEMEMBER("ThisWorkbookDataModel",{"[TPData].[Client].&amp;[Client 60]","[TPData].[Close Month].&amp;[2018-10-01T00:00:00]"})</f>
        <v>10/1/2018</v>
      </c>
      <c r="D427" s="49" t="str">
        <f>INDEX(TPData[Sales Rep],MATCH('Deal Size Analysis'!$B427,TPData[Client],FALSE))</f>
        <v>Rep 27</v>
      </c>
      <c r="E427" s="4" vm="1548">
        <f t="shared" si="16"/>
        <v>1030</v>
      </c>
      <c r="F427" s="4" t="str">
        <f t="shared" si="17"/>
        <v>Small (&lt;5k)</v>
      </c>
    </row>
    <row r="428" spans="2:6" x14ac:dyDescent="0.2">
      <c r="B428" s="49" t="str" vm="696">
        <f>CUBEMEMBER("ThisWorkbookDataModel","[TPData].[Client].&amp;[Client 600]")</f>
        <v>Client 600</v>
      </c>
      <c r="C428" s="49" t="str" vm="503">
        <f>CUBEMEMBER("ThisWorkbookDataModel",{"[TPData].[Client].&amp;[Client 600]","[TPData].[Close Month].&amp;[2018-10-01T00:00:00]"})</f>
        <v>10/1/2018</v>
      </c>
      <c r="D428" s="49" t="str">
        <f>INDEX(TPData[Sales Rep],MATCH('Deal Size Analysis'!$B428,TPData[Client],FALSE))</f>
        <v>Rep 18</v>
      </c>
      <c r="E428" s="4" vm="1154">
        <f t="shared" si="16"/>
        <v>8066.5199999999995</v>
      </c>
      <c r="F428" s="4" t="str">
        <f t="shared" si="17"/>
        <v>Medium (&lt;10k)</v>
      </c>
    </row>
    <row r="429" spans="2:6" x14ac:dyDescent="0.2">
      <c r="B429" s="49" t="str" vm="59">
        <f>CUBEMEMBER("ThisWorkbookDataModel","[TPData].[Client].&amp;[Client 601]")</f>
        <v>Client 601</v>
      </c>
      <c r="C429" s="49" t="str" vm="309">
        <f>CUBEMEMBER("ThisWorkbookDataModel",{"[TPData].[Client].&amp;[Client 601]","[TPData].[Close Month].&amp;[2018-11-01T00:00:00]"})</f>
        <v>11/1/2018</v>
      </c>
      <c r="D429" s="49" t="str">
        <f>INDEX(TPData[Sales Rep],MATCH('Deal Size Analysis'!$B429,TPData[Client],FALSE))</f>
        <v>Rep 18</v>
      </c>
      <c r="E429" s="4" vm="1532">
        <f t="shared" si="16"/>
        <v>18540</v>
      </c>
      <c r="F429" s="4" t="str">
        <f t="shared" si="17"/>
        <v>Large (&lt;20k)</v>
      </c>
    </row>
    <row r="430" spans="2:6" x14ac:dyDescent="0.2">
      <c r="B430" s="49" t="str" vm="99">
        <f>CUBEMEMBER("ThisWorkbookDataModel","[TPData].[Client].&amp;[Client 602]")</f>
        <v>Client 602</v>
      </c>
      <c r="C430" s="49" t="str" vm="802">
        <f>CUBEMEMBER("ThisWorkbookDataModel",{"[TPData].[Client].&amp;[Client 602]","[TPData].[Close Month].&amp;[2018-12-01T00:00:00]"})</f>
        <v>12/1/2018</v>
      </c>
      <c r="D430" s="49" t="str">
        <f>INDEX(TPData[Sales Rep],MATCH('Deal Size Analysis'!$B430,TPData[Client],FALSE))</f>
        <v>Rep 18</v>
      </c>
      <c r="E430" s="4" vm="1246">
        <f t="shared" si="16"/>
        <v>11760</v>
      </c>
      <c r="F430" s="4" t="str">
        <f t="shared" si="17"/>
        <v>Large (&lt;20k)</v>
      </c>
    </row>
    <row r="431" spans="2:6" x14ac:dyDescent="0.2">
      <c r="B431" s="49" t="str" vm="58">
        <f>CUBEMEMBER("ThisWorkbookDataModel","[TPData].[Client].&amp;[Client 603]")</f>
        <v>Client 603</v>
      </c>
      <c r="C431" s="49" t="str" vm="695">
        <f>CUBEMEMBER("ThisWorkbookDataModel",{"[TPData].[Client].&amp;[Client 603]","[TPData].[Close Month].&amp;[2019-01-01T00:00:00]"})</f>
        <v>1/1/2019</v>
      </c>
      <c r="D431" s="49" t="str">
        <f>INDEX(TPData[Sales Rep],MATCH('Deal Size Analysis'!$B431,TPData[Client],FALSE))</f>
        <v>Rep 18</v>
      </c>
      <c r="E431" s="4" vm="1182">
        <f t="shared" si="16"/>
        <v>6480</v>
      </c>
      <c r="F431" s="4" t="str">
        <f t="shared" si="17"/>
        <v>Medium (&lt;10k)</v>
      </c>
    </row>
    <row r="432" spans="2:6" x14ac:dyDescent="0.2">
      <c r="B432" s="49" t="str" vm="502">
        <f>CUBEMEMBER("ThisWorkbookDataModel","[TPData].[Client].&amp;[Client 604]")</f>
        <v>Client 604</v>
      </c>
      <c r="C432" s="49" t="str" vm="98">
        <f>CUBEMEMBER("ThisWorkbookDataModel",{"[TPData].[Client].&amp;[Client 604]","[TPData].[Close Month].&amp;[2019-01-01T00:00:00]"})</f>
        <v>1/1/2019</v>
      </c>
      <c r="D432" s="49" t="str">
        <f>INDEX(TPData[Sales Rep],MATCH('Deal Size Analysis'!$B432,TPData[Client],FALSE))</f>
        <v>Rep 18</v>
      </c>
      <c r="E432" s="4" vm="1549">
        <f t="shared" si="16"/>
        <v>10152</v>
      </c>
      <c r="F432" s="4" t="str">
        <f t="shared" si="17"/>
        <v>Large (&lt;20k)</v>
      </c>
    </row>
    <row r="433" spans="2:6" x14ac:dyDescent="0.2">
      <c r="B433" s="49" t="str" vm="57">
        <f>CUBEMEMBER("ThisWorkbookDataModel","[TPData].[Client].&amp;[Client 605]")</f>
        <v>Client 605</v>
      </c>
      <c r="C433" s="49" t="str" vm="308">
        <f>CUBEMEMBER("ThisWorkbookDataModel",{"[TPData].[Client].&amp;[Client 605]","[TPData].[Close Month].&amp;[2019-03-01T00:00:00]"})</f>
        <v>3/1/2019</v>
      </c>
      <c r="D433" s="49" t="str">
        <f>INDEX(TPData[Sales Rep],MATCH('Deal Size Analysis'!$B433,TPData[Client],FALSE))</f>
        <v>Rep 18</v>
      </c>
      <c r="E433" s="4" vm="1533">
        <f t="shared" si="16"/>
        <v>2044.08</v>
      </c>
      <c r="F433" s="4" t="str">
        <f t="shared" si="17"/>
        <v>Small (&lt;5k)</v>
      </c>
    </row>
    <row r="434" spans="2:6" x14ac:dyDescent="0.2">
      <c r="B434" s="49" t="str" vm="715">
        <f>CUBEMEMBER("ThisWorkbookDataModel","[TPData].[Client].&amp;[Client 606]")</f>
        <v>Client 606</v>
      </c>
      <c r="C434" s="49" t="str" vm="694">
        <f>CUBEMEMBER("ThisWorkbookDataModel",{"[TPData].[Client].&amp;[Client 606]","[TPData].[Close Month].&amp;[2019-03-01T00:00:00]"})</f>
        <v>3/1/2019</v>
      </c>
      <c r="D434" s="49" t="str">
        <f>INDEX(TPData[Sales Rep],MATCH('Deal Size Analysis'!$B434,TPData[Client],FALSE))</f>
        <v>Rep 18</v>
      </c>
      <c r="E434" s="4" vm="1181">
        <f t="shared" si="16"/>
        <v>2820</v>
      </c>
      <c r="F434" s="4" t="str">
        <f t="shared" si="17"/>
        <v>Small (&lt;5k)</v>
      </c>
    </row>
    <row r="435" spans="2:6" x14ac:dyDescent="0.2">
      <c r="B435" s="49" t="str" vm="56">
        <f>CUBEMEMBER("ThisWorkbookDataModel","[TPData].[Client].&amp;[Client 607]")</f>
        <v>Client 607</v>
      </c>
      <c r="C435" s="49" t="str" vm="97">
        <f>CUBEMEMBER("ThisWorkbookDataModel",{"[TPData].[Client].&amp;[Client 607]","[TPData].[Close Month].&amp;[2019-03-01T00:00:00]"})</f>
        <v>3/1/2019</v>
      </c>
      <c r="D435" s="49" t="str">
        <f>INDEX(TPData[Sales Rep],MATCH('Deal Size Analysis'!$B435,TPData[Client],FALSE))</f>
        <v>Rep 18</v>
      </c>
      <c r="E435" s="4" vm="1550">
        <f t="shared" si="16"/>
        <v>2400</v>
      </c>
      <c r="F435" s="4" t="str">
        <f t="shared" si="17"/>
        <v>Small (&lt;5k)</v>
      </c>
    </row>
    <row r="436" spans="2:6" x14ac:dyDescent="0.2">
      <c r="B436" s="49" t="str" vm="501">
        <f>CUBEMEMBER("ThisWorkbookDataModel","[TPData].[Client].&amp;[Client 608]")</f>
        <v>Client 608</v>
      </c>
      <c r="C436" s="49" t="str" vm="307">
        <f>CUBEMEMBER("ThisWorkbookDataModel",{"[TPData].[Client].&amp;[Client 608]","[TPData].[Close Month].&amp;[2019-04-01T00:00:00]"})</f>
        <v>4/1/2019</v>
      </c>
      <c r="D436" s="49" t="str">
        <f>INDEX(TPData[Sales Rep],MATCH('Deal Size Analysis'!$B436,TPData[Client],FALSE))</f>
        <v>Rep 18</v>
      </c>
      <c r="E436" s="4" vm="1057">
        <f t="shared" si="16"/>
        <v>3030</v>
      </c>
      <c r="F436" s="4" t="str">
        <f t="shared" si="17"/>
        <v>Small (&lt;5k)</v>
      </c>
    </row>
    <row r="437" spans="2:6" x14ac:dyDescent="0.2">
      <c r="B437" s="49" t="str" vm="55">
        <f>CUBEMEMBER("ThisWorkbookDataModel","[TPData].[Client].&amp;[Client 609]")</f>
        <v>Client 609</v>
      </c>
      <c r="C437" s="49" t="str" vm="974">
        <f>CUBEMEMBER("ThisWorkbookDataModel",{"[TPData].[Client].&amp;[Client 609]","[TPData].[Close Month].&amp;[2019-04-01T00:00:00]"})</f>
        <v>4/1/2019</v>
      </c>
      <c r="D437" s="49" t="str">
        <f>INDEX(TPData[Sales Rep],MATCH('Deal Size Analysis'!$B437,TPData[Client],FALSE))</f>
        <v>Rep 18</v>
      </c>
      <c r="E437" s="4" vm="1364">
        <f t="shared" si="16"/>
        <v>1620</v>
      </c>
      <c r="F437" s="4" t="str">
        <f t="shared" si="17"/>
        <v>Small (&lt;5k)</v>
      </c>
    </row>
    <row r="438" spans="2:6" x14ac:dyDescent="0.2">
      <c r="B438" s="49" t="str" vm="96">
        <f>CUBEMEMBER("ThisWorkbookDataModel","[TPData].[Client].&amp;[Client 61]")</f>
        <v>Client 61</v>
      </c>
      <c r="C438" s="49" t="str" vm="693">
        <f>CUBEMEMBER("ThisWorkbookDataModel",{"[TPData].[Client].&amp;[Client 61]","[TPData].[Close Month].&amp;[2018-10-01T00:00:00]"})</f>
        <v>10/1/2018</v>
      </c>
      <c r="D438" s="49" t="str">
        <f>INDEX(TPData[Sales Rep],MATCH('Deal Size Analysis'!$B438,TPData[Client],FALSE))</f>
        <v>Rep 27</v>
      </c>
      <c r="E438" s="4" vm="1180">
        <f t="shared" si="16"/>
        <v>7488</v>
      </c>
      <c r="F438" s="4" t="str">
        <f t="shared" si="17"/>
        <v>Medium (&lt;10k)</v>
      </c>
    </row>
    <row r="439" spans="2:6" x14ac:dyDescent="0.2">
      <c r="B439" s="49" t="str" vm="54">
        <f>CUBEMEMBER("ThisWorkbookDataModel","[TPData].[Client].&amp;[Client 610]")</f>
        <v>Client 610</v>
      </c>
      <c r="C439" s="49" t="str" vm="500">
        <f>CUBEMEMBER("ThisWorkbookDataModel",{"[TPData].[Client].&amp;[Client 610]","[TPData].[Close Month].&amp;[2019-05-01T00:00:00]"})</f>
        <v>5/1/2019</v>
      </c>
      <c r="D439" s="49" t="str">
        <f>INDEX(TPData[Sales Rep],MATCH('Deal Size Analysis'!$B439,TPData[Client],FALSE))</f>
        <v>Rep 18</v>
      </c>
      <c r="E439" s="4" vm="1074">
        <f t="shared" si="16"/>
        <v>6180</v>
      </c>
      <c r="F439" s="4" t="str">
        <f t="shared" si="17"/>
        <v>Medium (&lt;10k)</v>
      </c>
    </row>
    <row r="440" spans="2:6" x14ac:dyDescent="0.2">
      <c r="B440" s="49" t="str" vm="306">
        <f>CUBEMEMBER("ThisWorkbookDataModel","[TPData].[Client].&amp;[Client 611]")</f>
        <v>Client 611</v>
      </c>
      <c r="C440" s="49" t="str" vm="95">
        <f>CUBEMEMBER("ThisWorkbookDataModel",{"[TPData].[Client].&amp;[Client 611]","[TPData].[Close Month].&amp;[2019-05-01T00:00:00]"})</f>
        <v>5/1/2019</v>
      </c>
      <c r="D440" s="49" t="str">
        <f>INDEX(TPData[Sales Rep],MATCH('Deal Size Analysis'!$B440,TPData[Client],FALSE))</f>
        <v>Rep 18</v>
      </c>
      <c r="E440" s="4" vm="1551">
        <f t="shared" si="16"/>
        <v>1455</v>
      </c>
      <c r="F440" s="4" t="str">
        <f t="shared" si="17"/>
        <v>Small (&lt;5k)</v>
      </c>
    </row>
    <row r="441" spans="2:6" x14ac:dyDescent="0.2">
      <c r="B441" s="49" t="str" vm="53">
        <f>CUBEMEMBER("ThisWorkbookDataModel","[TPData].[Client].&amp;[Client 612]")</f>
        <v>Client 612</v>
      </c>
      <c r="C441" s="49" t="str" vm="887">
        <f>CUBEMEMBER("ThisWorkbookDataModel",{"[TPData].[Client].&amp;[Client 612]","[TPData].[Close Month].&amp;[2019-06-01T00:00:00]"})</f>
        <v>6/1/2019</v>
      </c>
      <c r="D441" s="49" t="str">
        <f>INDEX(TPData[Sales Rep],MATCH('Deal Size Analysis'!$B441,TPData[Client],FALSE))</f>
        <v>Rep 18</v>
      </c>
      <c r="E441" s="4" vm="1312">
        <f t="shared" si="16"/>
        <v>2970</v>
      </c>
      <c r="F441" s="4" t="str">
        <f t="shared" si="17"/>
        <v>Small (&lt;5k)</v>
      </c>
    </row>
    <row r="442" spans="2:6" x14ac:dyDescent="0.2">
      <c r="B442" s="49" t="str" vm="692">
        <f>CUBEMEMBER("ThisWorkbookDataModel","[TPData].[Client].&amp;[Client 613]")</f>
        <v>Client 613</v>
      </c>
      <c r="C442" s="49" t="str" vm="499">
        <f>CUBEMEMBER("ThisWorkbookDataModel",{"[TPData].[Client].&amp;[Client 613]","[TPData].[Close Month].&amp;[2019-06-01T00:00:00]"})</f>
        <v>6/1/2019</v>
      </c>
      <c r="D442" s="49" t="str">
        <f>INDEX(TPData[Sales Rep],MATCH('Deal Size Analysis'!$B442,TPData[Client],FALSE))</f>
        <v>Rep 18</v>
      </c>
      <c r="E442" s="4" vm="1073">
        <f t="shared" si="16"/>
        <v>3628.8</v>
      </c>
      <c r="F442" s="4" t="str">
        <f t="shared" si="17"/>
        <v>Small (&lt;5k)</v>
      </c>
    </row>
    <row r="443" spans="2:6" x14ac:dyDescent="0.2">
      <c r="B443" s="49" t="str" vm="52">
        <f>CUBEMEMBER("ThisWorkbookDataModel","[TPData].[Client].&amp;[Client 614]")</f>
        <v>Client 614</v>
      </c>
      <c r="C443" s="49" t="str" vm="94">
        <f>CUBEMEMBER("ThisWorkbookDataModel",{"[TPData].[Client].&amp;[Client 614]","[TPData].[Close Month].&amp;[2019-06-01T00:00:00]"})</f>
        <v>6/1/2019</v>
      </c>
      <c r="D443" s="49" t="str">
        <f>INDEX(TPData[Sales Rep],MATCH('Deal Size Analysis'!$B443,TPData[Client],FALSE))</f>
        <v>Rep 18</v>
      </c>
      <c r="E443" s="4" vm="1552">
        <f t="shared" si="16"/>
        <v>13080.000000000002</v>
      </c>
      <c r="F443" s="4" t="str">
        <f t="shared" si="17"/>
        <v>Large (&lt;20k)</v>
      </c>
    </row>
    <row r="444" spans="2:6" x14ac:dyDescent="0.2">
      <c r="B444" s="49" t="str" vm="305">
        <f>CUBEMEMBER("ThisWorkbookDataModel","[TPData].[Client].&amp;[Client 615]")</f>
        <v>Client 615</v>
      </c>
      <c r="C444" s="49" t="str" vm="801">
        <f>CUBEMEMBER("ThisWorkbookDataModel",{"[TPData].[Client].&amp;[Client 615]","[TPData].[Close Month].&amp;[2019-06-01T00:00:00]"})</f>
        <v>6/1/2019</v>
      </c>
      <c r="D444" s="49" t="str">
        <f>INDEX(TPData[Sales Rep],MATCH('Deal Size Analysis'!$B444,TPData[Client],FALSE))</f>
        <v>Rep 18</v>
      </c>
      <c r="E444" s="4" vm="1356">
        <f t="shared" si="16"/>
        <v>3333</v>
      </c>
      <c r="F444" s="4" t="str">
        <f t="shared" si="17"/>
        <v>Small (&lt;5k)</v>
      </c>
    </row>
    <row r="445" spans="2:6" x14ac:dyDescent="0.2">
      <c r="B445" s="49" t="str" vm="51">
        <f>CUBEMEMBER("ThisWorkbookDataModel","[TPData].[Client].&amp;[Client 616]")</f>
        <v>Client 616</v>
      </c>
      <c r="C445" s="49" t="str" vm="691">
        <f>CUBEMEMBER("ThisWorkbookDataModel",{"[TPData].[Client].&amp;[Client 616]","[TPData].[Close Month].&amp;[2019-06-01T00:00:00]"})</f>
        <v>6/1/2019</v>
      </c>
      <c r="D445" s="49" t="str">
        <f>INDEX(TPData[Sales Rep],MATCH('Deal Size Analysis'!$B445,TPData[Client],FALSE))</f>
        <v>Rep 18</v>
      </c>
      <c r="E445" s="4" vm="1179">
        <f t="shared" si="16"/>
        <v>5040</v>
      </c>
      <c r="F445" s="4" t="str">
        <f t="shared" si="17"/>
        <v>Medium (&lt;10k)</v>
      </c>
    </row>
    <row r="446" spans="2:6" x14ac:dyDescent="0.2">
      <c r="B446" s="49" t="str" vm="93">
        <f>CUBEMEMBER("ThisWorkbookDataModel","[TPData].[Client].&amp;[Client 62]")</f>
        <v>Client 62</v>
      </c>
      <c r="C446" s="49" t="str" vm="498">
        <f>CUBEMEMBER("ThisWorkbookDataModel",{"[TPData].[Client].&amp;[Client 62]","[TPData].[Close Month].&amp;[2018-10-01T00:00:00]"})</f>
        <v>10/1/2018</v>
      </c>
      <c r="D446" s="49" t="str">
        <f>INDEX(TPData[Sales Rep],MATCH('Deal Size Analysis'!$B446,TPData[Client],FALSE))</f>
        <v>Rep 27</v>
      </c>
      <c r="E446" s="4" vm="1072">
        <f t="shared" si="16"/>
        <v>1284</v>
      </c>
      <c r="F446" s="4" t="str">
        <f t="shared" si="17"/>
        <v>Small (&lt;5k)</v>
      </c>
    </row>
    <row r="447" spans="2:6" x14ac:dyDescent="0.2">
      <c r="B447" s="49" t="str" vm="50">
        <f>CUBEMEMBER("ThisWorkbookDataModel","[TPData].[Client].&amp;[Client 63]")</f>
        <v>Client 63</v>
      </c>
      <c r="C447" s="49" t="str" vm="304">
        <f>CUBEMEMBER("ThisWorkbookDataModel",{"[TPData].[Client].&amp;[Client 63]","[TPData].[Close Month].&amp;[2018-10-01T00:00:00]"})</f>
        <v>10/1/2018</v>
      </c>
      <c r="D447" s="49" t="str">
        <f>INDEX(TPData[Sales Rep],MATCH('Deal Size Analysis'!$B447,TPData[Client],FALSE))</f>
        <v>Rep 27</v>
      </c>
      <c r="E447" s="4" vm="1534">
        <f t="shared" si="16"/>
        <v>23100.000000000004</v>
      </c>
      <c r="F447" s="4" t="str">
        <f t="shared" si="17"/>
        <v>Mega (20k+)</v>
      </c>
    </row>
    <row r="448" spans="2:6" x14ac:dyDescent="0.2">
      <c r="B448" s="49" t="str" vm="714">
        <f>CUBEMEMBER("ThisWorkbookDataModel","[TPData].[Client].&amp;[Client 637]")</f>
        <v>Client 637</v>
      </c>
      <c r="C448" s="49" t="str" vm="92">
        <f>CUBEMEMBER("ThisWorkbookDataModel",{"[TPData].[Client].&amp;[Client 637]","[TPData].[Close Month].&amp;[2018-09-01T00:00:00]"})</f>
        <v>9/1/2018</v>
      </c>
      <c r="D448" s="49" t="str">
        <f>INDEX(TPData[Sales Rep],MATCH('Deal Size Analysis'!$B448,TPData[Client],FALSE))</f>
        <v>Rep 48</v>
      </c>
      <c r="E448" s="4" vm="1553">
        <f t="shared" si="16"/>
        <v>1140</v>
      </c>
      <c r="F448" s="4" t="str">
        <f t="shared" si="17"/>
        <v>Small (&lt;5k)</v>
      </c>
    </row>
    <row r="449" spans="2:6" x14ac:dyDescent="0.2">
      <c r="B449" s="49" t="str" vm="49">
        <f>CUBEMEMBER("ThisWorkbookDataModel","[TPData].[Client].&amp;[Client 638]")</f>
        <v>Client 638</v>
      </c>
      <c r="C449" s="49" t="str" vm="690">
        <f>CUBEMEMBER("ThisWorkbookDataModel",{"[TPData].[Client].&amp;[Client 638]","[TPData].[Close Month].&amp;[2018-10-01T00:00:00]"})</f>
        <v>10/1/2018</v>
      </c>
      <c r="D449" s="49" t="str">
        <f>INDEX(TPData[Sales Rep],MATCH('Deal Size Analysis'!$B449,TPData[Client],FALSE))</f>
        <v>Rep 48</v>
      </c>
      <c r="E449" s="4" vm="1178">
        <f t="shared" si="16"/>
        <v>6624</v>
      </c>
      <c r="F449" s="4" t="str">
        <f t="shared" si="17"/>
        <v>Medium (&lt;10k)</v>
      </c>
    </row>
    <row r="450" spans="2:6" x14ac:dyDescent="0.2">
      <c r="B450" s="49" t="str" vm="497">
        <f>CUBEMEMBER("ThisWorkbookDataModel","[TPData].[Client].&amp;[Client 639]")</f>
        <v>Client 639</v>
      </c>
      <c r="C450" s="49" t="str" vm="303">
        <f>CUBEMEMBER("ThisWorkbookDataModel",{"[TPData].[Client].&amp;[Client 639]","[TPData].[Close Month].&amp;[2018-10-01T00:00:00]"})</f>
        <v>10/1/2018</v>
      </c>
      <c r="D450" s="49" t="str">
        <f>INDEX(TPData[Sales Rep],MATCH('Deal Size Analysis'!$B450,TPData[Client],FALSE))</f>
        <v>Rep 48</v>
      </c>
      <c r="E450" s="4" vm="1535">
        <f t="shared" si="16"/>
        <v>5940</v>
      </c>
      <c r="F450" s="4" t="str">
        <f t="shared" si="17"/>
        <v>Medium (&lt;10k)</v>
      </c>
    </row>
    <row r="451" spans="2:6" x14ac:dyDescent="0.2">
      <c r="B451" s="49" t="str" vm="48">
        <f>CUBEMEMBER("ThisWorkbookDataModel","[TPData].[Client].&amp;[Client 64]")</f>
        <v>Client 64</v>
      </c>
      <c r="C451" s="49" t="str" vm="91">
        <f>CUBEMEMBER("ThisWorkbookDataModel",{"[TPData].[Client].&amp;[Client 64]","[TPData].[Close Month].&amp;[2018-11-01T00:00:00]"})</f>
        <v>11/1/2018</v>
      </c>
      <c r="D451" s="49" t="str">
        <f>INDEX(TPData[Sales Rep],MATCH('Deal Size Analysis'!$B451,TPData[Client],FALSE))</f>
        <v>Rep 27</v>
      </c>
      <c r="E451" s="4" vm="1554">
        <f t="shared" si="16"/>
        <v>5936.4</v>
      </c>
      <c r="F451" s="4" t="str">
        <f t="shared" si="17"/>
        <v>Medium (&lt;10k)</v>
      </c>
    </row>
    <row r="452" spans="2:6" x14ac:dyDescent="0.2">
      <c r="B452" s="49" t="str" vm="973">
        <f>CUBEMEMBER("ThisWorkbookDataModel","[TPData].[Client].&amp;[Client 640]")</f>
        <v>Client 640</v>
      </c>
      <c r="C452" s="49" t="str" vm="689">
        <f>CUBEMEMBER("ThisWorkbookDataModel",{"[TPData].[Client].&amp;[Client 640]","[TPData].[Close Month].&amp;[2018-11-01T00:00:00]"})</f>
        <v>11/1/2018</v>
      </c>
      <c r="D452" s="49" t="str">
        <f>INDEX(TPData[Sales Rep],MATCH('Deal Size Analysis'!$B452,TPData[Client],FALSE))</f>
        <v>Rep 48</v>
      </c>
      <c r="E452" s="4" vm="1177">
        <f t="shared" si="16"/>
        <v>11040</v>
      </c>
      <c r="F452" s="4" t="str">
        <f t="shared" si="17"/>
        <v>Large (&lt;20k)</v>
      </c>
    </row>
    <row r="453" spans="2:6" x14ac:dyDescent="0.2">
      <c r="B453" s="49" t="str" vm="47">
        <f>CUBEMEMBER("ThisWorkbookDataModel","[TPData].[Client].&amp;[Client 641]")</f>
        <v>Client 641</v>
      </c>
      <c r="C453" s="49" t="str" vm="496">
        <f>CUBEMEMBER("ThisWorkbookDataModel",{"[TPData].[Client].&amp;[Client 641]","[TPData].[Close Month].&amp;[2018-11-01T00:00:00]"})</f>
        <v>11/1/2018</v>
      </c>
      <c r="D453" s="49" t="str">
        <f>INDEX(TPData[Sales Rep],MATCH('Deal Size Analysis'!$B453,TPData[Client],FALSE))</f>
        <v>Rep 48</v>
      </c>
      <c r="E453" s="4" vm="1071">
        <f t="shared" ref="E453:E516" si="18">CUBEVALUE("ThisWorkbookDataModel",$C453,E$4)</f>
        <v>3090</v>
      </c>
      <c r="F453" s="4" t="str">
        <f t="shared" si="17"/>
        <v>Small (&lt;5k)</v>
      </c>
    </row>
    <row r="454" spans="2:6" x14ac:dyDescent="0.2">
      <c r="B454" s="49" t="str" vm="90">
        <f>CUBEMEMBER("ThisWorkbookDataModel","[TPData].[Client].&amp;[Client 642]")</f>
        <v>Client 642</v>
      </c>
      <c r="C454" s="49" t="str" vm="302">
        <f>CUBEMEMBER("ThisWorkbookDataModel",{"[TPData].[Client].&amp;[Client 642]","[TPData].[Close Month].&amp;[2018-11-01T00:00:00]"})</f>
        <v>11/1/2018</v>
      </c>
      <c r="D454" s="49" t="str">
        <f>INDEX(TPData[Sales Rep],MATCH('Deal Size Analysis'!$B454,TPData[Client],FALSE))</f>
        <v>Rep 48</v>
      </c>
      <c r="E454" s="4" vm="1536">
        <f t="shared" si="18"/>
        <v>5760</v>
      </c>
      <c r="F454" s="4" t="str">
        <f t="shared" ref="F454:F517" si="19">IF(E454&lt;=5000,$H$9,IF((E454&lt;10000),$H$10,IF((E454&lt;20000),$H$11,IF((E454&gt;=20000),$H$12))))</f>
        <v>Medium (&lt;10k)</v>
      </c>
    </row>
    <row r="455" spans="2:6" x14ac:dyDescent="0.2">
      <c r="B455" s="49" t="str" vm="46">
        <f>CUBEMEMBER("ThisWorkbookDataModel","[TPData].[Client].&amp;[Client 643]")</f>
        <v>Client 643</v>
      </c>
      <c r="C455" s="49" t="str" vm="886">
        <f>CUBEMEMBER("ThisWorkbookDataModel",{"[TPData].[Client].&amp;[Client 643]","[TPData].[Close Month].&amp;[2018-11-01T00:00:00]"})</f>
        <v>11/1/2018</v>
      </c>
      <c r="D455" s="49" t="str">
        <f>INDEX(TPData[Sales Rep],MATCH('Deal Size Analysis'!$B455,TPData[Client],FALSE))</f>
        <v>Rep 48</v>
      </c>
      <c r="E455" s="4" vm="1311">
        <f t="shared" si="18"/>
        <v>13464</v>
      </c>
      <c r="F455" s="4" t="str">
        <f t="shared" si="19"/>
        <v>Large (&lt;20k)</v>
      </c>
    </row>
    <row r="456" spans="2:6" x14ac:dyDescent="0.2">
      <c r="B456" s="49" t="str" vm="688">
        <f>CUBEMEMBER("ThisWorkbookDataModel","[TPData].[Client].&amp;[Client 644]")</f>
        <v>Client 644</v>
      </c>
      <c r="C456" s="49" t="str" vm="89">
        <f>CUBEMEMBER("ThisWorkbookDataModel",{"[TPData].[Client].&amp;[Client 644]","[TPData].[Close Month].&amp;[2018-12-01T00:00:00]"})</f>
        <v>12/1/2018</v>
      </c>
      <c r="D456" s="49" t="str">
        <f>INDEX(TPData[Sales Rep],MATCH('Deal Size Analysis'!$B456,TPData[Client],FALSE))</f>
        <v>Rep 48</v>
      </c>
      <c r="E456" s="4" vm="1555">
        <f t="shared" si="18"/>
        <v>3780</v>
      </c>
      <c r="F456" s="4" t="str">
        <f t="shared" si="19"/>
        <v>Small (&lt;5k)</v>
      </c>
    </row>
    <row r="457" spans="2:6" x14ac:dyDescent="0.2">
      <c r="B457" s="49" t="str" vm="45">
        <f>CUBEMEMBER("ThisWorkbookDataModel","[TPData].[Client].&amp;[Client 645]")</f>
        <v>Client 645</v>
      </c>
      <c r="C457" s="49" t="str" vm="495">
        <f>CUBEMEMBER("ThisWorkbookDataModel",{"[TPData].[Client].&amp;[Client 645]","[TPData].[Close Month].&amp;[2018-12-01T00:00:00]"})</f>
        <v>12/1/2018</v>
      </c>
      <c r="D457" s="49" t="str">
        <f>INDEX(TPData[Sales Rep],MATCH('Deal Size Analysis'!$B457,TPData[Client],FALSE))</f>
        <v>Rep 48</v>
      </c>
      <c r="E457" s="4" vm="1070">
        <f t="shared" si="18"/>
        <v>6147.9576000000006</v>
      </c>
      <c r="F457" s="4" t="str">
        <f t="shared" si="19"/>
        <v>Medium (&lt;10k)</v>
      </c>
    </row>
    <row r="458" spans="2:6" x14ac:dyDescent="0.2">
      <c r="B458" s="49" t="str" vm="301">
        <f>CUBEMEMBER("ThisWorkbookDataModel","[TPData].[Client].&amp;[Client 646]")</f>
        <v>Client 646</v>
      </c>
      <c r="C458" s="49" t="str" vm="800">
        <f>CUBEMEMBER("ThisWorkbookDataModel",{"[TPData].[Client].&amp;[Client 646]","[TPData].[Close Month].&amp;[2018-12-01T00:00:00]"})</f>
        <v>12/1/2018</v>
      </c>
      <c r="D458" s="49" t="str">
        <f>INDEX(TPData[Sales Rep],MATCH('Deal Size Analysis'!$B458,TPData[Client],FALSE))</f>
        <v>Rep 48</v>
      </c>
      <c r="E458" s="4" vm="1245">
        <f t="shared" si="18"/>
        <v>5460</v>
      </c>
      <c r="F458" s="4" t="str">
        <f t="shared" si="19"/>
        <v>Medium (&lt;10k)</v>
      </c>
    </row>
    <row r="459" spans="2:6" x14ac:dyDescent="0.2">
      <c r="B459" s="49" t="str" vm="44">
        <f>CUBEMEMBER("ThisWorkbookDataModel","[TPData].[Client].&amp;[Client 647]")</f>
        <v>Client 647</v>
      </c>
      <c r="C459" s="49" t="str" vm="88">
        <f>CUBEMEMBER("ThisWorkbookDataModel",{"[TPData].[Client].&amp;[Client 647]","[TPData].[Close Month].&amp;[2018-12-01T00:00:00]"})</f>
        <v>12/1/2018</v>
      </c>
      <c r="D459" s="49" t="str">
        <f>INDEX(TPData[Sales Rep],MATCH('Deal Size Analysis'!$B459,TPData[Client],FALSE))</f>
        <v>Rep 48</v>
      </c>
      <c r="E459" s="4" vm="1556">
        <f t="shared" si="18"/>
        <v>8962.7999999999993</v>
      </c>
      <c r="F459" s="4" t="str">
        <f t="shared" si="19"/>
        <v>Medium (&lt;10k)</v>
      </c>
    </row>
    <row r="460" spans="2:6" x14ac:dyDescent="0.2">
      <c r="B460" s="49" t="str" vm="687">
        <f>CUBEMEMBER("ThisWorkbookDataModel","[TPData].[Client].&amp;[Client 648]")</f>
        <v>Client 648</v>
      </c>
      <c r="C460" s="49" t="str" vm="494">
        <f>CUBEMEMBER("ThisWorkbookDataModel",{"[TPData].[Client].&amp;[Client 648]","[TPData].[Close Month].&amp;[2019-01-01T00:00:00]"})</f>
        <v>1/1/2019</v>
      </c>
      <c r="D460" s="49" t="str">
        <f>INDEX(TPData[Sales Rep],MATCH('Deal Size Analysis'!$B460,TPData[Client],FALSE))</f>
        <v>Rep 48</v>
      </c>
      <c r="E460" s="4" vm="1069">
        <f t="shared" si="18"/>
        <v>9700.0776000000005</v>
      </c>
      <c r="F460" s="4" t="str">
        <f t="shared" si="19"/>
        <v>Medium (&lt;10k)</v>
      </c>
    </row>
    <row r="461" spans="2:6" x14ac:dyDescent="0.2">
      <c r="B461" s="49" t="str" vm="43">
        <f>CUBEMEMBER("ThisWorkbookDataModel","[TPData].[Client].&amp;[Client 649]")</f>
        <v>Client 649</v>
      </c>
      <c r="C461" s="49" t="str" vm="300">
        <f>CUBEMEMBER("ThisWorkbookDataModel",{"[TPData].[Client].&amp;[Client 649]","[TPData].[Close Month].&amp;[2019-02-01T00:00:00]"})</f>
        <v>2/1/2019</v>
      </c>
      <c r="D461" s="49" t="str">
        <f>INDEX(TPData[Sales Rep],MATCH('Deal Size Analysis'!$B461,TPData[Client],FALSE))</f>
        <v>Rep 48</v>
      </c>
      <c r="E461" s="4" vm="1537">
        <f t="shared" si="18"/>
        <v>3090</v>
      </c>
      <c r="F461" s="4" t="str">
        <f t="shared" si="19"/>
        <v>Small (&lt;5k)</v>
      </c>
    </row>
    <row r="462" spans="2:6" x14ac:dyDescent="0.2">
      <c r="B462" s="49" t="str" vm="87">
        <f>CUBEMEMBER("ThisWorkbookDataModel","[TPData].[Client].&amp;[Client 65]")</f>
        <v>Client 65</v>
      </c>
      <c r="C462" s="49" t="str" vm="713">
        <f>CUBEMEMBER("ThisWorkbookDataModel",{"[TPData].[Client].&amp;[Client 65]","[TPData].[Close Month].&amp;[2018-12-01T00:00:00]"})</f>
        <v>12/1/2018</v>
      </c>
      <c r="D462" s="49" t="str">
        <f>INDEX(TPData[Sales Rep],MATCH('Deal Size Analysis'!$B462,TPData[Client],FALSE))</f>
        <v>Rep 27</v>
      </c>
      <c r="E462" s="4" vm="1198">
        <f t="shared" si="18"/>
        <v>3632.9700000000003</v>
      </c>
      <c r="F462" s="4" t="str">
        <f t="shared" si="19"/>
        <v>Small (&lt;5k)</v>
      </c>
    </row>
    <row r="463" spans="2:6" x14ac:dyDescent="0.2">
      <c r="B463" s="49" t="str" vm="42">
        <f>CUBEMEMBER("ThisWorkbookDataModel","[TPData].[Client].&amp;[Client 650]")</f>
        <v>Client 650</v>
      </c>
      <c r="C463" s="49" t="str" vm="686">
        <f>CUBEMEMBER("ThisWorkbookDataModel",{"[TPData].[Client].&amp;[Client 650]","[TPData].[Close Month].&amp;[2019-02-01T00:00:00]"})</f>
        <v>2/1/2019</v>
      </c>
      <c r="D463" s="49" t="str">
        <f>INDEX(TPData[Sales Rep],MATCH('Deal Size Analysis'!$B463,TPData[Client],FALSE))</f>
        <v>Rep 48</v>
      </c>
      <c r="E463" s="4" vm="1176">
        <f t="shared" si="18"/>
        <v>4608</v>
      </c>
      <c r="F463" s="4" t="str">
        <f t="shared" si="19"/>
        <v>Small (&lt;5k)</v>
      </c>
    </row>
    <row r="464" spans="2:6" x14ac:dyDescent="0.2">
      <c r="B464" s="49" t="str" vm="493">
        <f>CUBEMEMBER("ThisWorkbookDataModel","[TPData].[Client].&amp;[Client 651]")</f>
        <v>Client 651</v>
      </c>
      <c r="C464" s="49" t="str" vm="86">
        <f>CUBEMEMBER("ThisWorkbookDataModel",{"[TPData].[Client].&amp;[Client 651]","[TPData].[Close Month].&amp;[2019-03-01T00:00:00]"})</f>
        <v>3/1/2019</v>
      </c>
      <c r="D464" s="49" t="str">
        <f>INDEX(TPData[Sales Rep],MATCH('Deal Size Analysis'!$B464,TPData[Client],FALSE))</f>
        <v>Rep 48</v>
      </c>
      <c r="E464" s="4" vm="1557">
        <f t="shared" si="18"/>
        <v>4007.6400000000003</v>
      </c>
      <c r="F464" s="4" t="str">
        <f t="shared" si="19"/>
        <v>Small (&lt;5k)</v>
      </c>
    </row>
    <row r="465" spans="2:6" x14ac:dyDescent="0.2">
      <c r="B465" s="49" t="str" vm="41">
        <f>CUBEMEMBER("ThisWorkbookDataModel","[TPData].[Client].&amp;[Client 652]")</f>
        <v>Client 652</v>
      </c>
      <c r="C465" s="49" t="str" vm="299">
        <f>CUBEMEMBER("ThisWorkbookDataModel",{"[TPData].[Client].&amp;[Client 652]","[TPData].[Close Month].&amp;[2019-03-01T00:00:00]"})</f>
        <v>3/1/2019</v>
      </c>
      <c r="D465" s="49" t="str">
        <f>INDEX(TPData[Sales Rep],MATCH('Deal Size Analysis'!$B465,TPData[Client],FALSE))</f>
        <v>Rep 48</v>
      </c>
      <c r="E465" s="4" vm="1538">
        <f t="shared" si="18"/>
        <v>8064</v>
      </c>
      <c r="F465" s="4" t="str">
        <f t="shared" si="19"/>
        <v>Medium (&lt;10k)</v>
      </c>
    </row>
    <row r="466" spans="2:6" x14ac:dyDescent="0.2">
      <c r="B466" s="49" t="str" vm="972">
        <f>CUBEMEMBER("ThisWorkbookDataModel","[TPData].[Client].&amp;[Client 653]")</f>
        <v>Client 653</v>
      </c>
      <c r="C466" s="49" t="str" vm="685">
        <f>CUBEMEMBER("ThisWorkbookDataModel",{"[TPData].[Client].&amp;[Client 653]","[TPData].[Close Month].&amp;[2019-03-01T00:00:00]"})</f>
        <v>3/1/2019</v>
      </c>
      <c r="D466" s="49" t="str">
        <f>INDEX(TPData[Sales Rep],MATCH('Deal Size Analysis'!$B466,TPData[Client],FALSE))</f>
        <v>Rep 48</v>
      </c>
      <c r="E466" s="4" vm="1175">
        <f t="shared" si="18"/>
        <v>13332</v>
      </c>
      <c r="F466" s="4" t="str">
        <f t="shared" si="19"/>
        <v>Large (&lt;20k)</v>
      </c>
    </row>
    <row r="467" spans="2:6" x14ac:dyDescent="0.2">
      <c r="B467" s="49" t="str" vm="40">
        <f>CUBEMEMBER("ThisWorkbookDataModel","[TPData].[Client].&amp;[Client 654]")</f>
        <v>Client 654</v>
      </c>
      <c r="C467" s="49" t="str" vm="85">
        <f>CUBEMEMBER("ThisWorkbookDataModel",{"[TPData].[Client].&amp;[Client 654]","[TPData].[Close Month].&amp;[2019-04-01T00:00:00]"})</f>
        <v>4/1/2019</v>
      </c>
      <c r="D467" s="49" t="str">
        <f>INDEX(TPData[Sales Rep],MATCH('Deal Size Analysis'!$B467,TPData[Client],FALSE))</f>
        <v>Rep 48</v>
      </c>
      <c r="E467" s="4" vm="1558">
        <f t="shared" si="18"/>
        <v>3767.52</v>
      </c>
      <c r="F467" s="4" t="str">
        <f t="shared" si="19"/>
        <v>Small (&lt;5k)</v>
      </c>
    </row>
    <row r="468" spans="2:6" x14ac:dyDescent="0.2">
      <c r="B468" s="49" t="str" vm="492">
        <f>CUBEMEMBER("ThisWorkbookDataModel","[TPData].[Client].&amp;[Client 655]")</f>
        <v>Client 655</v>
      </c>
      <c r="C468" s="49" t="str" vm="298">
        <f>CUBEMEMBER("ThisWorkbookDataModel",{"[TPData].[Client].&amp;[Client 655]","[TPData].[Close Month].&amp;[2019-04-01T00:00:00]"})</f>
        <v>4/1/2019</v>
      </c>
      <c r="D468" s="49" t="str">
        <f>INDEX(TPData[Sales Rep],MATCH('Deal Size Analysis'!$B468,TPData[Client],FALSE))</f>
        <v>Rep 48</v>
      </c>
      <c r="E468" s="4" vm="1304">
        <f t="shared" si="18"/>
        <v>1365</v>
      </c>
      <c r="F468" s="4" t="str">
        <f t="shared" si="19"/>
        <v>Small (&lt;5k)</v>
      </c>
    </row>
    <row r="469" spans="2:6" x14ac:dyDescent="0.2">
      <c r="B469" s="49" t="str" vm="39">
        <f>CUBEMEMBER("ThisWorkbookDataModel","[TPData].[Client].&amp;[Client 656]")</f>
        <v>Client 656</v>
      </c>
      <c r="C469" s="49" t="str" vm="885">
        <f>CUBEMEMBER("ThisWorkbookDataModel",{"[TPData].[Client].&amp;[Client 656]","[TPData].[Close Month].&amp;[2019-04-01T00:00:00]"})</f>
        <v>4/1/2019</v>
      </c>
      <c r="D469" s="49" t="str">
        <f>INDEX(TPData[Sales Rep],MATCH('Deal Size Analysis'!$B469,TPData[Client],FALSE))</f>
        <v>Rep 48</v>
      </c>
      <c r="E469" s="4" vm="1310">
        <f t="shared" si="18"/>
        <v>1410</v>
      </c>
      <c r="F469" s="4" t="str">
        <f t="shared" si="19"/>
        <v>Small (&lt;5k)</v>
      </c>
    </row>
    <row r="470" spans="2:6" x14ac:dyDescent="0.2">
      <c r="B470" s="49" t="str" vm="84">
        <f>CUBEMEMBER("ThisWorkbookDataModel","[TPData].[Client].&amp;[Client 657]")</f>
        <v>Client 657</v>
      </c>
      <c r="C470" s="49" t="str" vm="684">
        <f>CUBEMEMBER("ThisWorkbookDataModel",{"[TPData].[Client].&amp;[Client 657]","[TPData].[Close Month].&amp;[2019-04-01T00:00:00]"})</f>
        <v>4/1/2019</v>
      </c>
      <c r="D470" s="49" t="str">
        <f>INDEX(TPData[Sales Rep],MATCH('Deal Size Analysis'!$B470,TPData[Client],FALSE))</f>
        <v>Rep 48</v>
      </c>
      <c r="E470" s="4" vm="1174">
        <f t="shared" si="18"/>
        <v>6666</v>
      </c>
      <c r="F470" s="4" t="str">
        <f t="shared" si="19"/>
        <v>Medium (&lt;10k)</v>
      </c>
    </row>
    <row r="471" spans="2:6" x14ac:dyDescent="0.2">
      <c r="B471" s="49" t="str" vm="38">
        <f>CUBEMEMBER("ThisWorkbookDataModel","[TPData].[Client].&amp;[Client 658]")</f>
        <v>Client 658</v>
      </c>
      <c r="C471" s="49" t="str" vm="491">
        <f>CUBEMEMBER("ThisWorkbookDataModel",{"[TPData].[Client].&amp;[Client 658]","[TPData].[Close Month].&amp;[2019-04-01T00:00:00]"})</f>
        <v>4/1/2019</v>
      </c>
      <c r="D471" s="49" t="str">
        <f>INDEX(TPData[Sales Rep],MATCH('Deal Size Analysis'!$B471,TPData[Client],FALSE))</f>
        <v>Rep 48</v>
      </c>
      <c r="E471" s="4" vm="1068">
        <f t="shared" si="18"/>
        <v>1272</v>
      </c>
      <c r="F471" s="4" t="str">
        <f t="shared" si="19"/>
        <v>Small (&lt;5k)</v>
      </c>
    </row>
    <row r="472" spans="2:6" x14ac:dyDescent="0.2">
      <c r="B472" s="49" t="str" vm="297">
        <f>CUBEMEMBER("ThisWorkbookDataModel","[TPData].[Client].&amp;[Client 659]")</f>
        <v>Client 659</v>
      </c>
      <c r="C472" s="49" t="str" vm="83">
        <f>CUBEMEMBER("ThisWorkbookDataModel",{"[TPData].[Client].&amp;[Client 659]","[TPData].[Close Month].&amp;[2019-04-01T00:00:00]"})</f>
        <v>4/1/2019</v>
      </c>
      <c r="D472" s="49" t="str">
        <f>INDEX(TPData[Sales Rep],MATCH('Deal Size Analysis'!$B472,TPData[Client],FALSE))</f>
        <v>Rep 48</v>
      </c>
      <c r="E472" s="4" vm="1559">
        <f t="shared" si="18"/>
        <v>16920</v>
      </c>
      <c r="F472" s="4" t="str">
        <f t="shared" si="19"/>
        <v>Large (&lt;20k)</v>
      </c>
    </row>
    <row r="473" spans="2:6" x14ac:dyDescent="0.2">
      <c r="B473" s="49" t="str" vm="37">
        <f>CUBEMEMBER("ThisWorkbookDataModel","[TPData].[Client].&amp;[Client 66]")</f>
        <v>Client 66</v>
      </c>
      <c r="C473" s="49" t="str" vm="799">
        <f>CUBEMEMBER("ThisWorkbookDataModel",{"[TPData].[Client].&amp;[Client 66]","[TPData].[Close Month].&amp;[2018-12-01T00:00:00]"})</f>
        <v>12/1/2018</v>
      </c>
      <c r="D473" s="49" t="str">
        <f>INDEX(TPData[Sales Rep],MATCH('Deal Size Analysis'!$B473,TPData[Client],FALSE))</f>
        <v>Rep 27</v>
      </c>
      <c r="E473" s="4" vm="1244">
        <f t="shared" si="18"/>
        <v>13068</v>
      </c>
      <c r="F473" s="4" t="str">
        <f t="shared" si="19"/>
        <v>Large (&lt;20k)</v>
      </c>
    </row>
    <row r="474" spans="2:6" x14ac:dyDescent="0.2">
      <c r="B474" s="49" t="str" vm="683">
        <f>CUBEMEMBER("ThisWorkbookDataModel","[TPData].[Client].&amp;[Client 660]")</f>
        <v>Client 660</v>
      </c>
      <c r="C474" s="49" t="str" vm="490">
        <f>CUBEMEMBER("ThisWorkbookDataModel",{"[TPData].[Client].&amp;[Client 660]","[TPData].[Close Month].&amp;[2019-06-01T00:00:00]"})</f>
        <v>6/1/2019</v>
      </c>
      <c r="D474" s="49" t="str">
        <f>INDEX(TPData[Sales Rep],MATCH('Deal Size Analysis'!$B474,TPData[Client],FALSE))</f>
        <v>Rep 48</v>
      </c>
      <c r="E474" s="4" vm="1067">
        <f t="shared" si="18"/>
        <v>1980.0395999999998</v>
      </c>
      <c r="F474" s="4" t="str">
        <f t="shared" si="19"/>
        <v>Small (&lt;5k)</v>
      </c>
    </row>
    <row r="475" spans="2:6" x14ac:dyDescent="0.2">
      <c r="B475" s="49" t="str" vm="36">
        <f>CUBEMEMBER("ThisWorkbookDataModel","[TPData].[Client].&amp;[Client 661]")</f>
        <v>Client 661</v>
      </c>
      <c r="C475" s="49" t="str" vm="82">
        <f>CUBEMEMBER("ThisWorkbookDataModel",{"[TPData].[Client].&amp;[Client 661]","[TPData].[Close Month].&amp;[2019-06-01T00:00:00]"})</f>
        <v>6/1/2019</v>
      </c>
      <c r="D475" s="49" t="str">
        <f>INDEX(TPData[Sales Rep],MATCH('Deal Size Analysis'!$B475,TPData[Client],FALSE))</f>
        <v>Rep 48</v>
      </c>
      <c r="E475" s="4" vm="1560">
        <f t="shared" si="18"/>
        <v>5520</v>
      </c>
      <c r="F475" s="4" t="str">
        <f t="shared" si="19"/>
        <v>Medium (&lt;10k)</v>
      </c>
    </row>
    <row r="476" spans="2:6" x14ac:dyDescent="0.2">
      <c r="B476" s="49" t="str" vm="296">
        <f>CUBEMEMBER("ThisWorkbookDataModel","[TPData].[Client].&amp;[Client 67]")</f>
        <v>Client 67</v>
      </c>
      <c r="C476" s="49" t="str" vm="712">
        <f>CUBEMEMBER("ThisWorkbookDataModel",{"[TPData].[Client].&amp;[Client 67]","[TPData].[Close Month].&amp;[2018-12-01T00:00:00]"})</f>
        <v>12/1/2018</v>
      </c>
      <c r="D476" s="49" t="str">
        <f>INDEX(TPData[Sales Rep],MATCH('Deal Size Analysis'!$B476,TPData[Client],FALSE))</f>
        <v>Rep 27</v>
      </c>
      <c r="E476" s="4" vm="1197">
        <f t="shared" si="18"/>
        <v>3600</v>
      </c>
      <c r="F476" s="4" t="str">
        <f t="shared" si="19"/>
        <v>Small (&lt;5k)</v>
      </c>
    </row>
    <row r="477" spans="2:6" x14ac:dyDescent="0.2">
      <c r="B477" s="49" t="str" vm="35">
        <f>CUBEMEMBER("ThisWorkbookDataModel","[TPData].[Client].&amp;[Client 68]")</f>
        <v>Client 68</v>
      </c>
      <c r="C477" s="49" t="str" vm="682">
        <f>CUBEMEMBER("ThisWorkbookDataModel",{"[TPData].[Client].&amp;[Client 68]","[TPData].[Close Month].&amp;[2018-12-01T00:00:00]"})</f>
        <v>12/1/2018</v>
      </c>
      <c r="D477" s="49" t="str">
        <f>INDEX(TPData[Sales Rep],MATCH('Deal Size Analysis'!$B477,TPData[Client],FALSE))</f>
        <v>Rep 27</v>
      </c>
      <c r="E477" s="4" vm="1173">
        <f t="shared" si="18"/>
        <v>5999.4000000000005</v>
      </c>
      <c r="F477" s="4" t="str">
        <f t="shared" si="19"/>
        <v>Medium (&lt;10k)</v>
      </c>
    </row>
    <row r="478" spans="2:6" x14ac:dyDescent="0.2">
      <c r="B478" s="49" t="str" vm="81">
        <f>CUBEMEMBER("ThisWorkbookDataModel","[TPData].[Client].&amp;[Client 69]")</f>
        <v>Client 69</v>
      </c>
      <c r="C478" s="49" t="str" vm="489">
        <f>CUBEMEMBER("ThisWorkbookDataModel",{"[TPData].[Client].&amp;[Client 69]","[TPData].[Close Month].&amp;[2018-12-01T00:00:00]"})</f>
        <v>12/1/2018</v>
      </c>
      <c r="D478" s="49" t="str">
        <f>INDEX(TPData[Sales Rep],MATCH('Deal Size Analysis'!$B478,TPData[Client],FALSE))</f>
        <v>Rep 27</v>
      </c>
      <c r="E478" s="4" vm="1066">
        <f t="shared" si="18"/>
        <v>1365</v>
      </c>
      <c r="F478" s="4" t="str">
        <f t="shared" si="19"/>
        <v>Small (&lt;5k)</v>
      </c>
    </row>
    <row r="479" spans="2:6" x14ac:dyDescent="0.2">
      <c r="B479" s="49" t="str" vm="34">
        <f>CUBEMEMBER("ThisWorkbookDataModel","[TPData].[Client].&amp;[Client 70]")</f>
        <v>Client 70</v>
      </c>
      <c r="C479" s="49" t="str" vm="295">
        <f>CUBEMEMBER("ThisWorkbookDataModel",{"[TPData].[Client].&amp;[Client 70]","[TPData].[Close Month].&amp;[2019-01-01T00:00:00]"})</f>
        <v>1/1/2019</v>
      </c>
      <c r="D479" s="49" t="str">
        <f>INDEX(TPData[Sales Rep],MATCH('Deal Size Analysis'!$B479,TPData[Client],FALSE))</f>
        <v>Rep 27</v>
      </c>
      <c r="E479" s="4" vm="1539">
        <f t="shared" si="18"/>
        <v>3816</v>
      </c>
      <c r="F479" s="4" t="str">
        <f t="shared" si="19"/>
        <v>Small (&lt;5k)</v>
      </c>
    </row>
    <row r="480" spans="2:6" x14ac:dyDescent="0.2">
      <c r="B480" s="49" t="str" vm="971">
        <f>CUBEMEMBER("ThisWorkbookDataModel","[TPData].[Client].&amp;[Client 71]")</f>
        <v>Client 71</v>
      </c>
      <c r="C480" s="49" t="str" vm="80">
        <f>CUBEMEMBER("ThisWorkbookDataModel",{"[TPData].[Client].&amp;[Client 71]","[TPData].[Close Month].&amp;[2019-01-01T00:00:00]"})</f>
        <v>1/1/2019</v>
      </c>
      <c r="D480" s="49" t="str">
        <f>INDEX(TPData[Sales Rep],MATCH('Deal Size Analysis'!$B480,TPData[Client],FALSE))</f>
        <v>Rep 27</v>
      </c>
      <c r="E480" s="4" vm="1561">
        <f t="shared" si="18"/>
        <v>6600.0000000000009</v>
      </c>
      <c r="F480" s="4" t="str">
        <f t="shared" si="19"/>
        <v>Medium (&lt;10k)</v>
      </c>
    </row>
    <row r="481" spans="2:6" x14ac:dyDescent="0.2">
      <c r="B481" s="49" t="str" vm="33">
        <f>CUBEMEMBER("ThisWorkbookDataModel","[TPData].[Client].&amp;[Client 72]")</f>
        <v>Client 72</v>
      </c>
      <c r="C481" s="49" t="str" vm="681">
        <f>CUBEMEMBER("ThisWorkbookDataModel",{"[TPData].[Client].&amp;[Client 72]","[TPData].[Close Month].&amp;[2019-01-01T00:00:00]"})</f>
        <v>1/1/2019</v>
      </c>
      <c r="D481" s="49" t="str">
        <f>INDEX(TPData[Sales Rep],MATCH('Deal Size Analysis'!$B481,TPData[Client],FALSE))</f>
        <v>Rep 27</v>
      </c>
      <c r="E481" s="4" vm="1172">
        <f t="shared" si="18"/>
        <v>10584</v>
      </c>
      <c r="F481" s="4" t="str">
        <f t="shared" si="19"/>
        <v>Large (&lt;20k)</v>
      </c>
    </row>
    <row r="482" spans="2:6" x14ac:dyDescent="0.2">
      <c r="B482" s="49" t="str" vm="488">
        <f>CUBEMEMBER("ThisWorkbookDataModel","[TPData].[Client].&amp;[Client 73]")</f>
        <v>Client 73</v>
      </c>
      <c r="C482" s="49" t="str" vm="294">
        <f>CUBEMEMBER("ThisWorkbookDataModel",{"[TPData].[Client].&amp;[Client 73]","[TPData].[Close Month].&amp;[2019-01-01T00:00:00]"})</f>
        <v>1/1/2019</v>
      </c>
      <c r="D482" s="49" t="str">
        <f>INDEX(TPData[Sales Rep],MATCH('Deal Size Analysis'!$B482,TPData[Client],FALSE))</f>
        <v>Rep 27</v>
      </c>
      <c r="E482" s="4" vm="1540">
        <f t="shared" si="18"/>
        <v>1530</v>
      </c>
      <c r="F482" s="4" t="str">
        <f t="shared" si="19"/>
        <v>Small (&lt;5k)</v>
      </c>
    </row>
    <row r="483" spans="2:6" x14ac:dyDescent="0.2">
      <c r="B483" s="49" t="str" vm="32">
        <f>CUBEMEMBER("ThisWorkbookDataModel","[TPData].[Client].&amp;[Client 74]")</f>
        <v>Client 74</v>
      </c>
      <c r="C483" s="49" t="str" vm="79">
        <f>CUBEMEMBER("ThisWorkbookDataModel",{"[TPData].[Client].&amp;[Client 74]","[TPData].[Close Month].&amp;[2019-01-01T00:00:00]"})</f>
        <v>1/1/2019</v>
      </c>
      <c r="D483" s="49" t="str">
        <f>INDEX(TPData[Sales Rep],MATCH('Deal Size Analysis'!$B483,TPData[Client],FALSE))</f>
        <v>Rep 27</v>
      </c>
      <c r="E483" s="4" vm="1562">
        <f t="shared" si="18"/>
        <v>2401.92</v>
      </c>
      <c r="F483" s="4" t="str">
        <f t="shared" si="19"/>
        <v>Small (&lt;5k)</v>
      </c>
    </row>
    <row r="484" spans="2:6" x14ac:dyDescent="0.2">
      <c r="B484" s="49" t="str" vm="884">
        <f>CUBEMEMBER("ThisWorkbookDataModel","[TPData].[Client].&amp;[Client 75]")</f>
        <v>Client 75</v>
      </c>
      <c r="C484" s="49" t="str" vm="680">
        <f>CUBEMEMBER("ThisWorkbookDataModel",{"[TPData].[Client].&amp;[Client 75]","[TPData].[Close Month].&amp;[2019-01-01T00:00:00]"})</f>
        <v>1/1/2019</v>
      </c>
      <c r="D484" s="49" t="str">
        <f>INDEX(TPData[Sales Rep],MATCH('Deal Size Analysis'!$B484,TPData[Client],FALSE))</f>
        <v>Rep 27</v>
      </c>
      <c r="E484" s="4" vm="1171">
        <f t="shared" si="18"/>
        <v>13200</v>
      </c>
      <c r="F484" s="4" t="str">
        <f t="shared" si="19"/>
        <v>Large (&lt;20k)</v>
      </c>
    </row>
    <row r="485" spans="2:6" x14ac:dyDescent="0.2">
      <c r="B485" s="49" t="str" vm="31">
        <f>CUBEMEMBER("ThisWorkbookDataModel","[TPData].[Client].&amp;[Client 76]")</f>
        <v>Client 76</v>
      </c>
      <c r="C485" s="49" t="str" vm="487">
        <f>CUBEMEMBER("ThisWorkbookDataModel",{"[TPData].[Client].&amp;[Client 76]","[TPData].[Close Month].&amp;[2019-02-01T00:00:00]"})</f>
        <v>2/1/2019</v>
      </c>
      <c r="D485" s="49" t="str">
        <f>INDEX(TPData[Sales Rep],MATCH('Deal Size Analysis'!$B485,TPData[Client],FALSE))</f>
        <v>Rep 27</v>
      </c>
      <c r="E485" s="4" vm="1238">
        <f t="shared" si="18"/>
        <v>8928</v>
      </c>
      <c r="F485" s="4" t="str">
        <f t="shared" si="19"/>
        <v>Medium (&lt;10k)</v>
      </c>
    </row>
    <row r="486" spans="2:6" x14ac:dyDescent="0.2">
      <c r="B486" s="49" t="str" vm="78">
        <f>CUBEMEMBER("ThisWorkbookDataModel","[TPData].[Client].&amp;[Client 77]")</f>
        <v>Client 77</v>
      </c>
      <c r="C486" s="49" t="str" vm="293">
        <f>CUBEMEMBER("ThisWorkbookDataModel",{"[TPData].[Client].&amp;[Client 77]","[TPData].[Close Month].&amp;[2019-02-01T00:00:00]"})</f>
        <v>2/1/2019</v>
      </c>
      <c r="D486" s="49" t="str">
        <f>INDEX(TPData[Sales Rep],MATCH('Deal Size Analysis'!$B486,TPData[Client],FALSE))</f>
        <v>Rep 27</v>
      </c>
      <c r="E486" s="4" vm="1541">
        <f t="shared" si="18"/>
        <v>1284</v>
      </c>
      <c r="F486" s="4" t="str">
        <f t="shared" si="19"/>
        <v>Small (&lt;5k)</v>
      </c>
    </row>
    <row r="487" spans="2:6" x14ac:dyDescent="0.2">
      <c r="B487" s="49" t="str" vm="30">
        <f>CUBEMEMBER("ThisWorkbookDataModel","[TPData].[Client].&amp;[Client 78]")</f>
        <v>Client 78</v>
      </c>
      <c r="C487" s="49" t="str" vm="798">
        <f>CUBEMEMBER("ThisWorkbookDataModel",{"[TPData].[Client].&amp;[Client 78]","[TPData].[Close Month].&amp;[2019-03-01T00:00:00]"})</f>
        <v>3/1/2019</v>
      </c>
      <c r="D487" s="49" t="str">
        <f>INDEX(TPData[Sales Rep],MATCH('Deal Size Analysis'!$B487,TPData[Client],FALSE))</f>
        <v>Rep 27</v>
      </c>
      <c r="E487" s="4" vm="1243">
        <f t="shared" si="18"/>
        <v>3120</v>
      </c>
      <c r="F487" s="4" t="str">
        <f t="shared" si="19"/>
        <v>Small (&lt;5k)</v>
      </c>
    </row>
    <row r="488" spans="2:6" x14ac:dyDescent="0.2">
      <c r="B488" s="49" t="str" vm="679">
        <f>CUBEMEMBER("ThisWorkbookDataModel","[TPData].[Client].&amp;[Client 79]")</f>
        <v>Client 79</v>
      </c>
      <c r="C488" s="49" t="str" vm="77">
        <f>CUBEMEMBER("ThisWorkbookDataModel",{"[TPData].[Client].&amp;[Client 79]","[TPData].[Close Month].&amp;[2019-03-01T00:00:00]"})</f>
        <v>3/1/2019</v>
      </c>
      <c r="D488" s="49" t="str">
        <f>INDEX(TPData[Sales Rep],MATCH('Deal Size Analysis'!$B488,TPData[Client],FALSE))</f>
        <v>Rep 27</v>
      </c>
      <c r="E488" s="4" vm="1563">
        <f t="shared" si="18"/>
        <v>20804.16</v>
      </c>
      <c r="F488" s="4" t="str">
        <f t="shared" si="19"/>
        <v>Mega (20k+)</v>
      </c>
    </row>
    <row r="489" spans="2:6" x14ac:dyDescent="0.2">
      <c r="B489" s="49" t="str" vm="29">
        <f>CUBEMEMBER("ThisWorkbookDataModel","[TPData].[Client].&amp;[Client 80]")</f>
        <v>Client 80</v>
      </c>
      <c r="C489" s="49" t="str" vm="486">
        <f>CUBEMEMBER("ThisWorkbookDataModel",{"[TPData].[Client].&amp;[Client 80]","[TPData].[Close Month].&amp;[2019-03-01T00:00:00]"})</f>
        <v>3/1/2019</v>
      </c>
      <c r="D489" s="49" t="str">
        <f>INDEX(TPData[Sales Rep],MATCH('Deal Size Analysis'!$B489,TPData[Client],FALSE))</f>
        <v>Rep 27</v>
      </c>
      <c r="E489" s="4" vm="1065">
        <f t="shared" si="18"/>
        <v>3924.0000000000005</v>
      </c>
      <c r="F489" s="4" t="str">
        <f t="shared" si="19"/>
        <v>Small (&lt;5k)</v>
      </c>
    </row>
    <row r="490" spans="2:6" x14ac:dyDescent="0.2">
      <c r="B490" s="49" t="str" vm="292">
        <f>CUBEMEMBER("ThisWorkbookDataModel","[TPData].[Client].&amp;[Client 81]")</f>
        <v>Client 81</v>
      </c>
      <c r="C490" s="49" t="str" vm="711">
        <f>CUBEMEMBER("ThisWorkbookDataModel",{"[TPData].[Client].&amp;[Client 81]","[TPData].[Close Month].&amp;[2019-03-01T00:00:00]"})</f>
        <v>3/1/2019</v>
      </c>
      <c r="D490" s="49" t="str">
        <f>INDEX(TPData[Sales Rep],MATCH('Deal Size Analysis'!$B490,TPData[Client],FALSE))</f>
        <v>Rep 27</v>
      </c>
      <c r="E490" s="4" vm="1196">
        <f t="shared" si="18"/>
        <v>2499</v>
      </c>
      <c r="F490" s="4" t="str">
        <f t="shared" si="19"/>
        <v>Small (&lt;5k)</v>
      </c>
    </row>
    <row r="491" spans="2:6" x14ac:dyDescent="0.2">
      <c r="B491" s="49" t="str" vm="28">
        <f>CUBEMEMBER("ThisWorkbookDataModel","[TPData].[Client].&amp;[Client 82]")</f>
        <v>Client 82</v>
      </c>
      <c r="C491" s="49" t="str" vm="76">
        <f>CUBEMEMBER("ThisWorkbookDataModel",{"[TPData].[Client].&amp;[Client 82]","[TPData].[Close Month].&amp;[2019-03-01T00:00:00]"})</f>
        <v>3/1/2019</v>
      </c>
      <c r="D491" s="49" t="str">
        <f>INDEX(TPData[Sales Rep],MATCH('Deal Size Analysis'!$B491,TPData[Client],FALSE))</f>
        <v>Rep 27</v>
      </c>
      <c r="E491" s="4" vm="1564">
        <f t="shared" si="18"/>
        <v>9101.82</v>
      </c>
      <c r="F491" s="4" t="str">
        <f t="shared" si="19"/>
        <v>Medium (&lt;10k)</v>
      </c>
    </row>
    <row r="492" spans="2:6" x14ac:dyDescent="0.2">
      <c r="B492" s="49" t="str" vm="678">
        <f>CUBEMEMBER("ThisWorkbookDataModel","[TPData].[Client].&amp;[Client 83]")</f>
        <v>Client 83</v>
      </c>
      <c r="C492" s="49" t="str" vm="485">
        <f>CUBEMEMBER("ThisWorkbookDataModel",{"[TPData].[Client].&amp;[Client 83]","[TPData].[Close Month].&amp;[2019-03-01T00:00:00]"})</f>
        <v>3/1/2019</v>
      </c>
      <c r="D492" s="49" t="str">
        <f>INDEX(TPData[Sales Rep],MATCH('Deal Size Analysis'!$B492,TPData[Client],FALSE))</f>
        <v>Rep 27</v>
      </c>
      <c r="E492" s="4" vm="1153">
        <f t="shared" si="18"/>
        <v>972.00000000000011</v>
      </c>
      <c r="F492" s="4" t="str">
        <f t="shared" si="19"/>
        <v>Small (&lt;5k)</v>
      </c>
    </row>
    <row r="493" spans="2:6" x14ac:dyDescent="0.2">
      <c r="B493" s="49" t="str" vm="27">
        <f>CUBEMEMBER("ThisWorkbookDataModel","[TPData].[Client].&amp;[Client 84]")</f>
        <v>Client 84</v>
      </c>
      <c r="C493" s="49" t="str" vm="291">
        <f>CUBEMEMBER("ThisWorkbookDataModel",{"[TPData].[Client].&amp;[Client 84]","[TPData].[Close Month].&amp;[2019-04-01T00:00:00]"})</f>
        <v>4/1/2019</v>
      </c>
      <c r="D493" s="49" t="str">
        <f>INDEX(TPData[Sales Rep],MATCH('Deal Size Analysis'!$B493,TPData[Client],FALSE))</f>
        <v>Rep 27</v>
      </c>
      <c r="E493" s="4" vm="1542">
        <f t="shared" si="18"/>
        <v>5016.18</v>
      </c>
      <c r="F493" s="4" t="str">
        <f t="shared" si="19"/>
        <v>Medium (&lt;10k)</v>
      </c>
    </row>
    <row r="494" spans="2:6" x14ac:dyDescent="0.2">
      <c r="B494" s="49" t="str" vm="75">
        <f>CUBEMEMBER("ThisWorkbookDataModel","[TPData].[Client].&amp;[Client 85]")</f>
        <v>Client 85</v>
      </c>
      <c r="C494" s="49" t="str" vm="970">
        <f>CUBEMEMBER("ThisWorkbookDataModel",{"[TPData].[Client].&amp;[Client 85]","[TPData].[Close Month].&amp;[2019-04-01T00:00:00]"})</f>
        <v>4/1/2019</v>
      </c>
      <c r="D494" s="49" t="str">
        <f>INDEX(TPData[Sales Rep],MATCH('Deal Size Analysis'!$B494,TPData[Client],FALSE))</f>
        <v>Rep 27</v>
      </c>
      <c r="E494" s="4" vm="1363">
        <f t="shared" si="18"/>
        <v>8988</v>
      </c>
      <c r="F494" s="4" t="str">
        <f t="shared" si="19"/>
        <v>Medium (&lt;10k)</v>
      </c>
    </row>
    <row r="495" spans="2:6" x14ac:dyDescent="0.2">
      <c r="B495" s="49" t="str" vm="26">
        <f>CUBEMEMBER("ThisWorkbookDataModel","[TPData].[Client].&amp;[Client 86]")</f>
        <v>Client 86</v>
      </c>
      <c r="C495" s="49" t="str" vm="677">
        <f>CUBEMEMBER("ThisWorkbookDataModel",{"[TPData].[Client].&amp;[Client 86]","[TPData].[Close Month].&amp;[2019-05-01T00:00:00]"})</f>
        <v>5/1/2019</v>
      </c>
      <c r="D495" s="49" t="str">
        <f>INDEX(TPData[Sales Rep],MATCH('Deal Size Analysis'!$B495,TPData[Client],FALSE))</f>
        <v>Rep 27</v>
      </c>
      <c r="E495" s="4" vm="1170">
        <f t="shared" si="18"/>
        <v>5292</v>
      </c>
      <c r="F495" s="4" t="str">
        <f t="shared" si="19"/>
        <v>Medium (&lt;10k)</v>
      </c>
    </row>
    <row r="496" spans="2:6" x14ac:dyDescent="0.2">
      <c r="B496" s="49" t="str" vm="484">
        <f>CUBEMEMBER("ThisWorkbookDataModel","[TPData].[Client].&amp;[Client 87]")</f>
        <v>Client 87</v>
      </c>
      <c r="C496" s="49" t="str" vm="74">
        <f>CUBEMEMBER("ThisWorkbookDataModel",{"[TPData].[Client].&amp;[Client 87]","[TPData].[Close Month].&amp;[2019-05-01T00:00:00]"})</f>
        <v>5/1/2019</v>
      </c>
      <c r="D496" s="49" t="str">
        <f>INDEX(TPData[Sales Rep],MATCH('Deal Size Analysis'!$B496,TPData[Client],FALSE))</f>
        <v>Rep 27</v>
      </c>
      <c r="E496" s="4" vm="1565">
        <f t="shared" si="18"/>
        <v>1188</v>
      </c>
      <c r="F496" s="4" t="str">
        <f t="shared" si="19"/>
        <v>Small (&lt;5k)</v>
      </c>
    </row>
    <row r="497" spans="2:6" x14ac:dyDescent="0.2">
      <c r="B497" s="49" t="str" vm="25">
        <f>CUBEMEMBER("ThisWorkbookDataModel","[TPData].[Client].&amp;[Client 88]")</f>
        <v>Client 88</v>
      </c>
      <c r="C497" s="49" t="str" vm="290">
        <f>CUBEMEMBER("ThisWorkbookDataModel",{"[TPData].[Client].&amp;[Client 88]","[TPData].[Close Month].&amp;[2019-06-01T00:00:00]"})</f>
        <v>6/1/2019</v>
      </c>
      <c r="D497" s="49" t="str">
        <f>INDEX(TPData[Sales Rep],MATCH('Deal Size Analysis'!$B497,TPData[Client],FALSE))</f>
        <v>Rep 27</v>
      </c>
      <c r="E497" s="4" vm="1543">
        <f t="shared" si="18"/>
        <v>9707.880000000001</v>
      </c>
      <c r="F497" s="4" t="str">
        <f t="shared" si="19"/>
        <v>Medium (&lt;10k)</v>
      </c>
    </row>
    <row r="498" spans="2:6" x14ac:dyDescent="0.2">
      <c r="B498" s="49" t="str" vm="883">
        <f>CUBEMEMBER("ThisWorkbookDataModel","[TPData].[Client].&amp;[Client 89]")</f>
        <v>Client 89</v>
      </c>
      <c r="C498" s="49" t="str" vm="676">
        <f>CUBEMEMBER("ThisWorkbookDataModel",{"[TPData].[Client].&amp;[Client 89]","[TPData].[Close Month].&amp;[2018-07-01T00:00:00]"})</f>
        <v>7/1/2018</v>
      </c>
      <c r="D498" s="49" t="str">
        <f>INDEX(TPData[Sales Rep],MATCH('Deal Size Analysis'!$B498,TPData[Client],FALSE))</f>
        <v>Rep 21</v>
      </c>
      <c r="E498" s="4" vm="1169">
        <f t="shared" si="18"/>
        <v>6000</v>
      </c>
      <c r="F498" s="4" t="str">
        <f t="shared" si="19"/>
        <v>Medium (&lt;10k)</v>
      </c>
    </row>
    <row r="499" spans="2:6" x14ac:dyDescent="0.2">
      <c r="B499" s="49" t="str" vm="24">
        <f>CUBEMEMBER("ThisWorkbookDataModel","[TPData].[Client].&amp;[Client 90]")</f>
        <v>Client 90</v>
      </c>
      <c r="C499" s="49" t="str" vm="73">
        <f>CUBEMEMBER("ThisWorkbookDataModel",{"[TPData].[Client].&amp;[Client 90]","[TPData].[Close Month].&amp;[2018-07-01T00:00:00]"})</f>
        <v>7/1/2018</v>
      </c>
      <c r="D499" s="49" t="str">
        <f>INDEX(TPData[Sales Rep],MATCH('Deal Size Analysis'!$B499,TPData[Client],FALSE))</f>
        <v>Rep 21</v>
      </c>
      <c r="E499" s="4" vm="1566">
        <f t="shared" si="18"/>
        <v>2352</v>
      </c>
      <c r="F499" s="4" t="str">
        <f t="shared" si="19"/>
        <v>Small (&lt;5k)</v>
      </c>
    </row>
    <row r="500" spans="2:6" x14ac:dyDescent="0.2">
      <c r="B500" s="49" t="str" vm="483">
        <f>CUBEMEMBER("ThisWorkbookDataModel","[TPData].[Client].&amp;[Client 91]")</f>
        <v>Client 91</v>
      </c>
      <c r="C500" s="49" t="str" vm="289">
        <f>CUBEMEMBER("ThisWorkbookDataModel",{"[TPData].[Client].&amp;[Client 91]","[TPData].[Close Month].&amp;[2018-07-01T00:00:00]"})</f>
        <v>7/1/2018</v>
      </c>
      <c r="D500" s="49" t="str">
        <f>INDEX(TPData[Sales Rep],MATCH('Deal Size Analysis'!$B500,TPData[Client],FALSE))</f>
        <v>Rep 21</v>
      </c>
      <c r="E500" s="4" vm="1056">
        <f t="shared" si="18"/>
        <v>2820</v>
      </c>
      <c r="F500" s="4" t="str">
        <f t="shared" si="19"/>
        <v>Small (&lt;5k)</v>
      </c>
    </row>
    <row r="501" spans="2:6" x14ac:dyDescent="0.2">
      <c r="B501" s="49" t="str" vm="23">
        <f>CUBEMEMBER("ThisWorkbookDataModel","[TPData].[Client].&amp;[Client 92]")</f>
        <v>Client 92</v>
      </c>
      <c r="C501" s="49" t="str" vm="797">
        <f>CUBEMEMBER("ThisWorkbookDataModel",{"[TPData].[Client].&amp;[Client 92]","[TPData].[Close Month].&amp;[2018-07-01T00:00:00]"})</f>
        <v>7/1/2018</v>
      </c>
      <c r="D501" s="49" t="str">
        <f>INDEX(TPData[Sales Rep],MATCH('Deal Size Analysis'!$B501,TPData[Client],FALSE))</f>
        <v>Rep 21</v>
      </c>
      <c r="E501" s="4" vm="1242">
        <f t="shared" si="18"/>
        <v>15000</v>
      </c>
      <c r="F501" s="4" t="str">
        <f t="shared" si="19"/>
        <v>Large (&lt;20k)</v>
      </c>
    </row>
    <row r="502" spans="2:6" x14ac:dyDescent="0.2">
      <c r="B502" s="49" t="str" vm="72">
        <f>CUBEMEMBER("ThisWorkbookDataModel","[TPData].[Client].&amp;[Client 93]")</f>
        <v>Client 93</v>
      </c>
      <c r="C502" s="49" t="str" vm="675">
        <f>CUBEMEMBER("ThisWorkbookDataModel",{"[TPData].[Client].&amp;[Client 93]","[TPData].[Close Month].&amp;[2018-07-01T00:00:00]"})</f>
        <v>7/1/2018</v>
      </c>
      <c r="D502" s="49" t="str">
        <f>INDEX(TPData[Sales Rep],MATCH('Deal Size Analysis'!$B502,TPData[Client],FALSE))</f>
        <v>Rep 21</v>
      </c>
      <c r="E502" s="4" vm="1168">
        <f t="shared" si="18"/>
        <v>12500</v>
      </c>
      <c r="F502" s="4" t="str">
        <f t="shared" si="19"/>
        <v>Large (&lt;20k)</v>
      </c>
    </row>
    <row r="503" spans="2:6" x14ac:dyDescent="0.2">
      <c r="B503" s="49" t="str" vm="22">
        <f>CUBEMEMBER("ThisWorkbookDataModel","[TPData].[Client].&amp;[Client 94]")</f>
        <v>Client 94</v>
      </c>
      <c r="C503" s="49" t="str" vm="482">
        <f>CUBEMEMBER("ThisWorkbookDataModel",{"[TPData].[Client].&amp;[Client 94]","[TPData].[Close Month].&amp;[2018-07-01T00:00:00]"})</f>
        <v>7/1/2018</v>
      </c>
      <c r="D503" s="49" t="str">
        <f>INDEX(TPData[Sales Rep],MATCH('Deal Size Analysis'!$B503,TPData[Client],FALSE))</f>
        <v>Rep 21</v>
      </c>
      <c r="E503" s="4" vm="1064">
        <f t="shared" si="18"/>
        <v>4888.8</v>
      </c>
      <c r="F503" s="4" t="str">
        <f t="shared" si="19"/>
        <v>Small (&lt;5k)</v>
      </c>
    </row>
    <row r="504" spans="2:6" x14ac:dyDescent="0.2">
      <c r="B504" s="49" t="str" vm="288">
        <f>CUBEMEMBER("ThisWorkbookDataModel","[TPData].[Client].&amp;[Client 95]")</f>
        <v>Client 95</v>
      </c>
      <c r="C504" s="49" t="str" vm="71">
        <f>CUBEMEMBER("ThisWorkbookDataModel",{"[TPData].[Client].&amp;[Client 95]","[TPData].[Close Month].&amp;[2018-08-01T00:00:00]"})</f>
        <v>8/1/2018</v>
      </c>
      <c r="D504" s="49" t="str">
        <f>INDEX(TPData[Sales Rep],MATCH('Deal Size Analysis'!$B504,TPData[Client],FALSE))</f>
        <v>Rep 21</v>
      </c>
      <c r="E504" s="4" vm="1567">
        <f t="shared" si="18"/>
        <v>1890</v>
      </c>
      <c r="F504" s="4" t="str">
        <f t="shared" si="19"/>
        <v>Small (&lt;5k)</v>
      </c>
    </row>
    <row r="505" spans="2:6" x14ac:dyDescent="0.2">
      <c r="B505" s="49" t="str" vm="21">
        <f>CUBEMEMBER("ThisWorkbookDataModel","[TPData].[Client].&amp;[Client 96]")</f>
        <v>Client 96</v>
      </c>
      <c r="C505" s="49" t="str" vm="710">
        <f>CUBEMEMBER("ThisWorkbookDataModel",{"[TPData].[Client].&amp;[Client 96]","[TPData].[Close Month].&amp;[2018-08-01T00:00:00]"})</f>
        <v>8/1/2018</v>
      </c>
      <c r="D505" s="49" t="str">
        <f>INDEX(TPData[Sales Rep],MATCH('Deal Size Analysis'!$B505,TPData[Client],FALSE))</f>
        <v>Rep 21</v>
      </c>
      <c r="E505" s="4" vm="1195">
        <f t="shared" si="18"/>
        <v>3000</v>
      </c>
      <c r="F505" s="4" t="str">
        <f t="shared" si="19"/>
        <v>Small (&lt;5k)</v>
      </c>
    </row>
    <row r="506" spans="2:6" x14ac:dyDescent="0.2">
      <c r="B506" s="49" t="str" vm="674">
        <f>CUBEMEMBER("ThisWorkbookDataModel","[TPData].[Client].&amp;[Client 97]")</f>
        <v>Client 97</v>
      </c>
      <c r="C506" s="49" t="str" vm="481">
        <f>CUBEMEMBER("ThisWorkbookDataModel",{"[TPData].[Client].&amp;[Client 97]","[TPData].[Close Month].&amp;[2018-08-01T00:00:00]"})</f>
        <v>8/1/2018</v>
      </c>
      <c r="D506" s="49" t="str">
        <f>INDEX(TPData[Sales Rep],MATCH('Deal Size Analysis'!$B506,TPData[Client],FALSE))</f>
        <v>Rep 21</v>
      </c>
      <c r="E506" s="4" vm="1063">
        <f t="shared" si="18"/>
        <v>2144.2800000000002</v>
      </c>
      <c r="F506" s="4" t="str">
        <f t="shared" si="19"/>
        <v>Small (&lt;5k)</v>
      </c>
    </row>
    <row r="507" spans="2:6" x14ac:dyDescent="0.2">
      <c r="B507" s="49" t="str" vm="20">
        <f>CUBEMEMBER("ThisWorkbookDataModel","[TPData].[Client].&amp;[Client 970]")</f>
        <v>Client 970</v>
      </c>
      <c r="C507" s="49" t="str" vm="70">
        <f>CUBEMEMBER("ThisWorkbookDataModel",{"[TPData].[Client].&amp;[Client 970]","[TPData].[Close Month].&amp;[2018-07-01T00:00:00]"})</f>
        <v>7/1/2018</v>
      </c>
      <c r="D507" s="49" t="str">
        <f>INDEX(TPData[Sales Rep],MATCH('Deal Size Analysis'!$B507,TPData[Client],FALSE))</f>
        <v>Rep 36</v>
      </c>
      <c r="E507" s="4" vm="1568">
        <f t="shared" si="18"/>
        <v>3520</v>
      </c>
      <c r="F507" s="4" t="str">
        <f t="shared" si="19"/>
        <v>Small (&lt;5k)</v>
      </c>
    </row>
    <row r="508" spans="2:6" x14ac:dyDescent="0.2">
      <c r="B508" s="49" t="str" vm="287">
        <f>CUBEMEMBER("ThisWorkbookDataModel","[TPData].[Client].&amp;[Client 972]")</f>
        <v>Client 972</v>
      </c>
      <c r="C508" s="49" t="str" vm="969">
        <f>CUBEMEMBER("ThisWorkbookDataModel",{"[TPData].[Client].&amp;[Client 972]","[TPData].[Close Month].&amp;[2019-05-01T00:00:00]"})</f>
        <v>5/1/2019</v>
      </c>
      <c r="D508" s="49" t="str">
        <f>INDEX(TPData[Sales Rep],MATCH('Deal Size Analysis'!$B508,TPData[Client],FALSE))</f>
        <v>Rep 48</v>
      </c>
      <c r="E508" s="4" vm="1362">
        <f t="shared" si="18"/>
        <v>12542</v>
      </c>
      <c r="F508" s="4" t="str">
        <f t="shared" si="19"/>
        <v>Large (&lt;20k)</v>
      </c>
    </row>
    <row r="509" spans="2:6" x14ac:dyDescent="0.2">
      <c r="B509" s="49" t="str" vm="19">
        <f>CUBEMEMBER("ThisWorkbookDataModel","[TPData].[Client].&amp;[Client 973]")</f>
        <v>Client 973</v>
      </c>
      <c r="C509" s="49" t="str" vm="673">
        <f>CUBEMEMBER("ThisWorkbookDataModel",{"[TPData].[Client].&amp;[Client 973]","[TPData].[Close Month].&amp;[2019-05-01T00:00:00]"})</f>
        <v>5/1/2019</v>
      </c>
      <c r="D509" s="49" t="str">
        <f>INDEX(TPData[Sales Rep],MATCH('Deal Size Analysis'!$B509,TPData[Client],FALSE))</f>
        <v>Rep 48</v>
      </c>
      <c r="E509" s="4" vm="1167">
        <f t="shared" si="18"/>
        <v>7485</v>
      </c>
      <c r="F509" s="4" t="str">
        <f t="shared" si="19"/>
        <v>Medium (&lt;10k)</v>
      </c>
    </row>
    <row r="510" spans="2:6" x14ac:dyDescent="0.2">
      <c r="B510" s="49" t="str" vm="69">
        <f>CUBEMEMBER("ThisWorkbookDataModel","[TPData].[Client].&amp;[Client 974]")</f>
        <v>Client 974</v>
      </c>
      <c r="C510" s="49" t="str" vm="480">
        <f>CUBEMEMBER("ThisWorkbookDataModel",{"[TPData].[Client].&amp;[Client 974]","[TPData].[Close Month].&amp;[2018-08-01T00:00:00]"})</f>
        <v>8/1/2018</v>
      </c>
      <c r="D510" s="49" t="str">
        <f>INDEX(TPData[Sales Rep],MATCH('Deal Size Analysis'!$B510,TPData[Client],FALSE))</f>
        <v>Rep 48</v>
      </c>
      <c r="E510" s="4" vm="1062">
        <f t="shared" si="18"/>
        <v>7452</v>
      </c>
      <c r="F510" s="4" t="str">
        <f t="shared" si="19"/>
        <v>Medium (&lt;10k)</v>
      </c>
    </row>
    <row r="511" spans="2:6" x14ac:dyDescent="0.2">
      <c r="B511" s="49" t="str" vm="18">
        <f>CUBEMEMBER("ThisWorkbookDataModel","[TPData].[Client].&amp;[Client 975]")</f>
        <v>Client 975</v>
      </c>
      <c r="C511" s="49" t="str" vm="286">
        <f>CUBEMEMBER("ThisWorkbookDataModel",{"[TPData].[Client].&amp;[Client 975]","[TPData].[Close Month].&amp;[2018-08-01T00:00:00]"})</f>
        <v>8/1/2018</v>
      </c>
      <c r="D511" s="49" t="str">
        <f>INDEX(TPData[Sales Rep],MATCH('Deal Size Analysis'!$B511,TPData[Client],FALSE))</f>
        <v>Rep 48</v>
      </c>
      <c r="E511" s="4" vm="1544">
        <f t="shared" si="18"/>
        <v>2514</v>
      </c>
      <c r="F511" s="4" t="str">
        <f t="shared" si="19"/>
        <v>Small (&lt;5k)</v>
      </c>
    </row>
    <row r="512" spans="2:6" x14ac:dyDescent="0.2">
      <c r="B512" s="49" t="str" vm="882">
        <f>CUBEMEMBER("ThisWorkbookDataModel","[TPData].[Client].&amp;[Client 976]")</f>
        <v>Client 976</v>
      </c>
      <c r="C512" s="49" t="str" vm="68">
        <f>CUBEMEMBER("ThisWorkbookDataModel",{"[TPData].[Client].&amp;[Client 976]","[TPData].[Close Month].&amp;[2018-07-01T00:00:00]"})</f>
        <v>7/1/2018</v>
      </c>
      <c r="D512" s="49" t="str">
        <f>INDEX(TPData[Sales Rep],MATCH('Deal Size Analysis'!$B512,TPData[Client],FALSE))</f>
        <v>Rep 48</v>
      </c>
      <c r="E512" s="4" vm="1569">
        <f t="shared" si="18"/>
        <v>5254</v>
      </c>
      <c r="F512" s="4" t="str">
        <f t="shared" si="19"/>
        <v>Medium (&lt;10k)</v>
      </c>
    </row>
    <row r="513" spans="2:6" x14ac:dyDescent="0.2">
      <c r="B513" s="49" t="str" vm="17">
        <f>CUBEMEMBER("ThisWorkbookDataModel","[TPData].[Client].&amp;[Client 98]")</f>
        <v>Client 98</v>
      </c>
      <c r="C513" s="49" t="str" vm="672">
        <f>CUBEMEMBER("ThisWorkbookDataModel",{"[TPData].[Client].&amp;[Client 98]","[TPData].[Close Month].&amp;[2018-08-01T00:00:00]"})</f>
        <v>8/1/2018</v>
      </c>
      <c r="D513" s="49" t="str">
        <f>INDEX(TPData[Sales Rep],MATCH('Deal Size Analysis'!$B513,TPData[Client],FALSE))</f>
        <v>Rep 21</v>
      </c>
      <c r="E513" s="4" vm="1166">
        <f t="shared" si="18"/>
        <v>2304</v>
      </c>
      <c r="F513" s="4" t="str">
        <f t="shared" si="19"/>
        <v>Small (&lt;5k)</v>
      </c>
    </row>
    <row r="514" spans="2:6" x14ac:dyDescent="0.2">
      <c r="B514" s="49" t="str" vm="479">
        <f>CUBEMEMBER("ThisWorkbookDataModel","[TPData].[Client].&amp;[Client 984]")</f>
        <v>Client 984</v>
      </c>
      <c r="C514" s="49" t="str" vm="285">
        <f>CUBEMEMBER("ThisWorkbookDataModel",{"[TPData].[Client].&amp;[Client 984]","[TPData].[Close Month].&amp;[2019-06-01T00:00:00]"})</f>
        <v>6/1/2019</v>
      </c>
      <c r="D514" s="49" t="str">
        <f>INDEX(TPData[Sales Rep],MATCH('Deal Size Analysis'!$B514,TPData[Client],FALSE))</f>
        <v>Rep 34</v>
      </c>
      <c r="E514" s="4" vm="1545">
        <f t="shared" si="18"/>
        <v>8547</v>
      </c>
      <c r="F514" s="4" t="str">
        <f t="shared" si="19"/>
        <v>Medium (&lt;10k)</v>
      </c>
    </row>
    <row r="515" spans="2:6" x14ac:dyDescent="0.2">
      <c r="B515" s="49" t="str" vm="16">
        <f>CUBEMEMBER("ThisWorkbookDataModel","[TPData].[Client].&amp;[Client 985]")</f>
        <v>Client 985</v>
      </c>
      <c r="C515" s="49" t="str" vm="67">
        <f>CUBEMEMBER("ThisWorkbookDataModel",{"[TPData].[Client].&amp;[Client 985]","[TPData].[Close Month].&amp;[2019-06-01T00:00:00]"})</f>
        <v>6/1/2019</v>
      </c>
      <c r="D515" s="49" t="str">
        <f>INDEX(TPData[Sales Rep],MATCH('Deal Size Analysis'!$B515,TPData[Client],FALSE))</f>
        <v>Rep 34</v>
      </c>
      <c r="E515" s="4" vm="1570">
        <f t="shared" si="18"/>
        <v>1425</v>
      </c>
      <c r="F515" s="4" t="str">
        <f t="shared" si="19"/>
        <v>Small (&lt;5k)</v>
      </c>
    </row>
    <row r="516" spans="2:6" x14ac:dyDescent="0.2">
      <c r="B516" s="49" t="str" vm="796">
        <f>CUBEMEMBER("ThisWorkbookDataModel","[TPData].[Client].&amp;[Client 986]")</f>
        <v>Client 986</v>
      </c>
      <c r="C516" s="49" t="str" vm="671">
        <f>CUBEMEMBER("ThisWorkbookDataModel",{"[TPData].[Client].&amp;[Client 986]","[TPData].[Close Month].&amp;[2019-05-01T00:00:00]"})</f>
        <v>5/1/2019</v>
      </c>
      <c r="D516" s="49" t="str">
        <f>INDEX(TPData[Sales Rep],MATCH('Deal Size Analysis'!$B516,TPData[Client],FALSE))</f>
        <v>Rep 34</v>
      </c>
      <c r="E516" s="4" vm="1165">
        <f t="shared" si="18"/>
        <v>14250</v>
      </c>
      <c r="F516" s="4" t="str">
        <f t="shared" si="19"/>
        <v>Large (&lt;20k)</v>
      </c>
    </row>
    <row r="517" spans="2:6" x14ac:dyDescent="0.2">
      <c r="B517" s="49" t="str" vm="15">
        <f>CUBEMEMBER("ThisWorkbookDataModel","[TPData].[Client].&amp;[Client 987]")</f>
        <v>Client 987</v>
      </c>
      <c r="C517" s="49" t="str" vm="7">
        <f>CUBEMEMBER("ThisWorkbookDataModel",{"[TPData].[Client].&amp;[Client 987]","[TPData].[Close Month].&amp;[2019-05-01T00:00:00]"})</f>
        <v>5/1/2019</v>
      </c>
      <c r="D517" s="49" t="str">
        <f>INDEX(TPData[Sales Rep],MATCH('Deal Size Analysis'!$B517,TPData[Client],FALSE))</f>
        <v>Rep 34</v>
      </c>
      <c r="E517" s="4" vm="1055">
        <f t="shared" ref="E517:E530" si="20">CUBEVALUE("ThisWorkbookDataModel",$C517,E$4)</f>
        <v>5500</v>
      </c>
      <c r="F517" s="4" t="str">
        <f t="shared" si="19"/>
        <v>Medium (&lt;10k)</v>
      </c>
    </row>
    <row r="518" spans="2:6" x14ac:dyDescent="0.2">
      <c r="B518" s="49" t="str" vm="478">
        <f>CUBEMEMBER("ThisWorkbookDataModel","[TPData].[Client].&amp;[Client 988]")</f>
        <v>Client 988</v>
      </c>
      <c r="C518" s="49" t="str" vm="66">
        <f>CUBEMEMBER("ThisWorkbookDataModel",{"[TPData].[Client].&amp;[Client 988]","[TPData].[Close Month].&amp;[2019-04-01T00:00:00]"})</f>
        <v>4/1/2019</v>
      </c>
      <c r="D518" s="49" t="str">
        <f>INDEX(TPData[Sales Rep],MATCH('Deal Size Analysis'!$B518,TPData[Client],FALSE))</f>
        <v>Rep 34</v>
      </c>
      <c r="E518" s="4" vm="1571">
        <f t="shared" si="20"/>
        <v>15850</v>
      </c>
      <c r="F518" s="4" t="str">
        <f t="shared" ref="F518:F530" si="21">IF(E518&lt;=5000,$H$9,IF((E518&lt;10000),$H$10,IF((E518&lt;20000),$H$11,IF((E518&gt;=20000),$H$12))))</f>
        <v>Large (&lt;20k)</v>
      </c>
    </row>
    <row r="519" spans="2:6" x14ac:dyDescent="0.2">
      <c r="B519" s="49" t="str" vm="14">
        <f>CUBEMEMBER("ThisWorkbookDataModel","[TPData].[Client].&amp;[Client 989]")</f>
        <v>Client 989</v>
      </c>
      <c r="C519" s="49" t="str" vm="6">
        <f>CUBEMEMBER("ThisWorkbookDataModel",{"[TPData].[Client].&amp;[Client 989]","[TPData].[Close Month].&amp;[2019-04-01T00:00:00]"})</f>
        <v>4/1/2019</v>
      </c>
      <c r="D519" s="49" t="str">
        <f>INDEX(TPData[Sales Rep],MATCH('Deal Size Analysis'!$B519,TPData[Client],FALSE))</f>
        <v>Rep 34</v>
      </c>
      <c r="E519" s="4" vm="1577">
        <f t="shared" si="20"/>
        <v>7604</v>
      </c>
      <c r="F519" s="4" t="str">
        <f t="shared" si="21"/>
        <v>Medium (&lt;10k)</v>
      </c>
    </row>
    <row r="520" spans="2:6" x14ac:dyDescent="0.2">
      <c r="B520" s="49" t="str" vm="284">
        <f>CUBEMEMBER("ThisWorkbookDataModel","[TPData].[Client].&amp;[Client 99]")</f>
        <v>Client 99</v>
      </c>
      <c r="C520" s="49" t="str" vm="709">
        <f>CUBEMEMBER("ThisWorkbookDataModel",{"[TPData].[Client].&amp;[Client 99]","[TPData].[Close Month].&amp;[2018-08-01T00:00:00]"})</f>
        <v>8/1/2018</v>
      </c>
      <c r="D520" s="49" t="str">
        <f>INDEX(TPData[Sales Rep],MATCH('Deal Size Analysis'!$B520,TPData[Client],FALSE))</f>
        <v>Rep 21</v>
      </c>
      <c r="E520" s="4" vm="1194">
        <f t="shared" si="20"/>
        <v>3270.0000000000005</v>
      </c>
      <c r="F520" s="4" t="str">
        <f t="shared" si="21"/>
        <v>Small (&lt;5k)</v>
      </c>
    </row>
    <row r="521" spans="2:6" x14ac:dyDescent="0.2">
      <c r="B521" s="49" t="str" vm="13">
        <f>CUBEMEMBER("ThisWorkbookDataModel","[TPData].[Client].&amp;[Client 990]")</f>
        <v>Client 990</v>
      </c>
      <c r="C521" s="49" t="str" vm="5">
        <f>CUBEMEMBER("ThisWorkbookDataModel",{"[TPData].[Client].&amp;[Client 990]","[TPData].[Close Month].&amp;[2019-01-01T00:00:00]"})</f>
        <v>1/1/2019</v>
      </c>
      <c r="D521" s="49" t="str">
        <f>INDEX(TPData[Sales Rep],MATCH('Deal Size Analysis'!$B521,TPData[Client],FALSE))</f>
        <v>Rep 34</v>
      </c>
      <c r="E521" s="4" vm="1578">
        <f t="shared" si="20"/>
        <v>10750</v>
      </c>
      <c r="F521" s="4" t="str">
        <f t="shared" si="21"/>
        <v>Large (&lt;20k)</v>
      </c>
    </row>
    <row r="522" spans="2:6" x14ac:dyDescent="0.2">
      <c r="B522" s="49" t="str" vm="670">
        <f>CUBEMEMBER("ThisWorkbookDataModel","[TPData].[Client].&amp;[Client 991]")</f>
        <v>Client 991</v>
      </c>
      <c r="C522" s="49" t="str" vm="65">
        <f>CUBEMEMBER("ThisWorkbookDataModel",{"[TPData].[Client].&amp;[Client 991]","[TPData].[Close Month].&amp;[2019-01-01T00:00:00]"})</f>
        <v>1/1/2019</v>
      </c>
      <c r="D522" s="49" t="str">
        <f>INDEX(TPData[Sales Rep],MATCH('Deal Size Analysis'!$B522,TPData[Client],FALSE))</f>
        <v>Rep 34</v>
      </c>
      <c r="E522" s="4" vm="1572">
        <f t="shared" si="20"/>
        <v>8542</v>
      </c>
      <c r="F522" s="4" t="str">
        <f t="shared" si="21"/>
        <v>Medium (&lt;10k)</v>
      </c>
    </row>
    <row r="523" spans="2:6" x14ac:dyDescent="0.2">
      <c r="B523" s="49" t="str" vm="12">
        <f>CUBEMEMBER("ThisWorkbookDataModel","[TPData].[Client].&amp;[Client 992]")</f>
        <v>Client 992</v>
      </c>
      <c r="C523" s="49" t="str" vm="4">
        <f>CUBEMEMBER("ThisWorkbookDataModel",{"[TPData].[Client].&amp;[Client 992]","[TPData].[Close Month].&amp;[2019-02-01T00:00:00]"})</f>
        <v>2/1/2019</v>
      </c>
      <c r="D523" s="49" t="str">
        <f>INDEX(TPData[Sales Rep],MATCH('Deal Size Analysis'!$B523,TPData[Client],FALSE))</f>
        <v>Rep 18</v>
      </c>
      <c r="E523" s="4" vm="1579">
        <f t="shared" si="20"/>
        <v>12850</v>
      </c>
      <c r="F523" s="4" t="str">
        <f t="shared" si="21"/>
        <v>Large (&lt;20k)</v>
      </c>
    </row>
    <row r="524" spans="2:6" x14ac:dyDescent="0.2">
      <c r="B524" s="49" t="str" vm="477">
        <f>CUBEMEMBER("ThisWorkbookDataModel","[TPData].[Client].&amp;[Client 993]")</f>
        <v>Client 993</v>
      </c>
      <c r="C524" s="49" t="str" vm="283">
        <f>CUBEMEMBER("ThisWorkbookDataModel",{"[TPData].[Client].&amp;[Client 993]","[TPData].[Close Month].&amp;[2018-07-01T00:00:00]"})</f>
        <v>7/1/2018</v>
      </c>
      <c r="D524" s="49" t="str">
        <f>INDEX(TPData[Sales Rep],MATCH('Deal Size Analysis'!$B524,TPData[Client],FALSE))</f>
        <v>Rep 18</v>
      </c>
      <c r="E524" s="4" vm="1546">
        <f t="shared" si="20"/>
        <v>2958</v>
      </c>
      <c r="F524" s="4" t="str">
        <f t="shared" si="21"/>
        <v>Small (&lt;5k)</v>
      </c>
    </row>
    <row r="525" spans="2:6" x14ac:dyDescent="0.2">
      <c r="B525" s="49" t="str" vm="11">
        <f>CUBEMEMBER("ThisWorkbookDataModel","[TPData].[Client].&amp;[Client 994]")</f>
        <v>Client 994</v>
      </c>
      <c r="C525" s="49" t="str" vm="3">
        <f>CUBEMEMBER("ThisWorkbookDataModel",{"[TPData].[Client].&amp;[Client 994]","[TPData].[Close Month].&amp;[2018-07-01T00:00:00]"})</f>
        <v>7/1/2018</v>
      </c>
      <c r="D525" s="49" t="str">
        <f>INDEX(TPData[Sales Rep],MATCH('Deal Size Analysis'!$B525,TPData[Client],FALSE))</f>
        <v>Rep 16</v>
      </c>
      <c r="E525" s="4" vm="1575">
        <f t="shared" si="20"/>
        <v>1452</v>
      </c>
      <c r="F525" s="4" t="str">
        <f t="shared" si="21"/>
        <v>Small (&lt;5k)</v>
      </c>
    </row>
    <row r="526" spans="2:6" x14ac:dyDescent="0.2">
      <c r="B526" s="49" t="str" vm="968">
        <f>CUBEMEMBER("ThisWorkbookDataModel","[TPData].[Client].&amp;[Client 995]")</f>
        <v>Client 995</v>
      </c>
      <c r="C526" s="49" t="str" vm="64">
        <f>CUBEMEMBER("ThisWorkbookDataModel",{"[TPData].[Client].&amp;[Client 995]","[TPData].[Close Month].&amp;[2018-07-01T00:00:00]"})</f>
        <v>7/1/2018</v>
      </c>
      <c r="D526" s="49" t="str">
        <f>INDEX(TPData[Sales Rep],MATCH('Deal Size Analysis'!$B526,TPData[Client],FALSE))</f>
        <v>Rep 16</v>
      </c>
      <c r="E526" s="4" vm="1573">
        <f t="shared" si="20"/>
        <v>8584</v>
      </c>
      <c r="F526" s="4" t="str">
        <f t="shared" si="21"/>
        <v>Medium (&lt;10k)</v>
      </c>
    </row>
    <row r="527" spans="2:6" x14ac:dyDescent="0.2">
      <c r="B527" s="49" t="str" vm="10">
        <f>CUBEMEMBER("ThisWorkbookDataModel","[TPData].[Client].&amp;[Client 996]")</f>
        <v>Client 996</v>
      </c>
      <c r="C527" s="49" t="str" vm="2">
        <f>CUBEMEMBER("ThisWorkbookDataModel",{"[TPData].[Client].&amp;[Client 996]","[TPData].[Close Month].&amp;[2018-07-01T00:00:00]"})</f>
        <v>7/1/2018</v>
      </c>
      <c r="D527" s="49" t="str">
        <f>INDEX(TPData[Sales Rep],MATCH('Deal Size Analysis'!$B527,TPData[Client],FALSE))</f>
        <v>Rep 15</v>
      </c>
      <c r="E527" s="4" vm="1580">
        <f t="shared" si="20"/>
        <v>2597</v>
      </c>
      <c r="F527" s="4" t="str">
        <f t="shared" si="21"/>
        <v>Small (&lt;5k)</v>
      </c>
    </row>
    <row r="528" spans="2:6" x14ac:dyDescent="0.2">
      <c r="B528" s="49" t="str" vm="669">
        <f>CUBEMEMBER("ThisWorkbookDataModel","[TPData].[Client].&amp;[Client 997]")</f>
        <v>Client 997</v>
      </c>
      <c r="C528" s="49" t="str" vm="476">
        <f>CUBEMEMBER("ThisWorkbookDataModel",{"[TPData].[Client].&amp;[Client 997]","[TPData].[Close Month].&amp;[2018-07-01T00:00:00]"})</f>
        <v>7/1/2018</v>
      </c>
      <c r="D528" s="49" t="str">
        <f>INDEX(TPData[Sales Rep],MATCH('Deal Size Analysis'!$B528,TPData[Client],FALSE))</f>
        <v>Rep 15</v>
      </c>
      <c r="E528" s="4" vm="1061">
        <f t="shared" si="20"/>
        <v>9752</v>
      </c>
      <c r="F528" s="4" t="str">
        <f t="shared" si="21"/>
        <v>Medium (&lt;10k)</v>
      </c>
    </row>
    <row r="529" spans="2:6" x14ac:dyDescent="0.2">
      <c r="B529" s="49" t="str" vm="9">
        <f>CUBEMEMBER("ThisWorkbookDataModel","[TPData].[Client].&amp;[Client 998]")</f>
        <v>Client 998</v>
      </c>
      <c r="C529" s="49" t="str" vm="1">
        <f>CUBEMEMBER("ThisWorkbookDataModel",{"[TPData].[Client].&amp;[Client 998]","[TPData].[Close Month].&amp;[2019-06-01T00:00:00]"})</f>
        <v>6/1/2019</v>
      </c>
      <c r="D529" s="49" t="str">
        <f>INDEX(TPData[Sales Rep],MATCH('Deal Size Analysis'!$B529,TPData[Client],FALSE))</f>
        <v>Rep 12</v>
      </c>
      <c r="E529" s="4" vm="1581">
        <f t="shared" si="20"/>
        <v>11500</v>
      </c>
      <c r="F529" s="4" t="str">
        <f t="shared" si="21"/>
        <v>Large (&lt;20k)</v>
      </c>
    </row>
    <row r="530" spans="2:6" x14ac:dyDescent="0.2">
      <c r="B530" s="49" t="str" vm="282">
        <f>CUBEMEMBER("ThisWorkbookDataModel","[TPData].[Client].&amp;[Client 999]")</f>
        <v>Client 999</v>
      </c>
      <c r="C530" s="49" t="str" vm="63">
        <f>CUBEMEMBER("ThisWorkbookDataModel",{"[TPData].[Client].&amp;[Client 999]","[TPData].[Close Month].&amp;[2018-12-01T00:00:00]"})</f>
        <v>12/1/2018</v>
      </c>
      <c r="D530" s="49" t="str">
        <f>INDEX(TPData[Sales Rep],MATCH('Deal Size Analysis'!$B530,TPData[Client],FALSE))</f>
        <v>Rep 12</v>
      </c>
      <c r="E530" s="4" vm="1574">
        <f t="shared" si="20"/>
        <v>15000</v>
      </c>
      <c r="F530" s="4" t="str">
        <f t="shared" si="21"/>
        <v>Large (&lt;20k)</v>
      </c>
    </row>
    <row r="531" spans="2:6" x14ac:dyDescent="0.2">
      <c r="B531" s="49" t="str" vm="8">
        <f>CUBEMEMBER("ThisWorkbookDataModel","[TPData].[Client].[All]","Grand Total")</f>
        <v>Grand Total</v>
      </c>
      <c r="C531"/>
      <c r="E531" s="4" vm="1576">
        <f>CUBEVALUE("ThisWorkbookDataModel",$B531,E$4)</f>
        <v>3401196.3860880006</v>
      </c>
      <c r="F531" s="4"/>
    </row>
    <row r="532" spans="2:6" x14ac:dyDescent="0.2">
      <c r="B532"/>
      <c r="C532"/>
    </row>
    <row r="533" spans="2:6" x14ac:dyDescent="0.2">
      <c r="B533"/>
      <c r="C533"/>
    </row>
    <row r="534" spans="2:6" x14ac:dyDescent="0.2">
      <c r="B534"/>
      <c r="C534"/>
    </row>
    <row r="535" spans="2:6" x14ac:dyDescent="0.2">
      <c r="B535"/>
      <c r="C535"/>
    </row>
    <row r="536" spans="2:6" x14ac:dyDescent="0.2">
      <c r="B536"/>
      <c r="C536"/>
    </row>
    <row r="537" spans="2:6" x14ac:dyDescent="0.2">
      <c r="B537"/>
      <c r="C537"/>
    </row>
    <row r="538" spans="2:6" x14ac:dyDescent="0.2">
      <c r="B538"/>
      <c r="C538"/>
    </row>
    <row r="539" spans="2:6" x14ac:dyDescent="0.2">
      <c r="B539"/>
      <c r="C539"/>
    </row>
    <row r="540" spans="2:6" x14ac:dyDescent="0.2">
      <c r="B540"/>
      <c r="C540"/>
    </row>
    <row r="541" spans="2:6" x14ac:dyDescent="0.2">
      <c r="B541"/>
      <c r="C541"/>
    </row>
    <row r="542" spans="2:6" x14ac:dyDescent="0.2">
      <c r="B542"/>
      <c r="C542"/>
    </row>
    <row r="543" spans="2:6" x14ac:dyDescent="0.2">
      <c r="B543"/>
      <c r="C543"/>
    </row>
    <row r="544" spans="2:6" x14ac:dyDescent="0.2">
      <c r="B544"/>
      <c r="C544"/>
    </row>
    <row r="545" spans="2:3" x14ac:dyDescent="0.2">
      <c r="B545"/>
      <c r="C545"/>
    </row>
    <row r="546" spans="2:3" x14ac:dyDescent="0.2">
      <c r="B546"/>
      <c r="C546"/>
    </row>
    <row r="547" spans="2:3" x14ac:dyDescent="0.2">
      <c r="B547"/>
      <c r="C547"/>
    </row>
    <row r="548" spans="2:3" x14ac:dyDescent="0.2">
      <c r="B548"/>
      <c r="C548"/>
    </row>
    <row r="549" spans="2:3" x14ac:dyDescent="0.2">
      <c r="B549"/>
      <c r="C549"/>
    </row>
    <row r="550" spans="2:3" x14ac:dyDescent="0.2">
      <c r="B550"/>
      <c r="C550"/>
    </row>
    <row r="551" spans="2:3" x14ac:dyDescent="0.2">
      <c r="B551"/>
      <c r="C551"/>
    </row>
    <row r="552" spans="2:3" x14ac:dyDescent="0.2">
      <c r="B552"/>
      <c r="C552"/>
    </row>
    <row r="553" spans="2:3" x14ac:dyDescent="0.2">
      <c r="B553"/>
      <c r="C553"/>
    </row>
    <row r="554" spans="2:3" x14ac:dyDescent="0.2">
      <c r="B554"/>
      <c r="C554"/>
    </row>
    <row r="555" spans="2:3" x14ac:dyDescent="0.2">
      <c r="B555"/>
      <c r="C555"/>
    </row>
    <row r="556" spans="2:3" x14ac:dyDescent="0.2">
      <c r="B556"/>
      <c r="C556"/>
    </row>
    <row r="557" spans="2:3" x14ac:dyDescent="0.2">
      <c r="B557"/>
      <c r="C557"/>
    </row>
    <row r="558" spans="2:3" x14ac:dyDescent="0.2">
      <c r="B558"/>
      <c r="C558"/>
    </row>
    <row r="559" spans="2:3" x14ac:dyDescent="0.2">
      <c r="B559"/>
      <c r="C559"/>
    </row>
    <row r="560" spans="2:3" x14ac:dyDescent="0.2">
      <c r="B560"/>
      <c r="C560"/>
    </row>
    <row r="561" spans="2:3" x14ac:dyDescent="0.2">
      <c r="B561"/>
      <c r="C561"/>
    </row>
    <row r="562" spans="2:3" x14ac:dyDescent="0.2">
      <c r="B562"/>
      <c r="C562"/>
    </row>
    <row r="563" spans="2:3" x14ac:dyDescent="0.2">
      <c r="B563"/>
      <c r="C563"/>
    </row>
    <row r="564" spans="2:3" x14ac:dyDescent="0.2">
      <c r="B564"/>
      <c r="C564"/>
    </row>
    <row r="565" spans="2:3" x14ac:dyDescent="0.2">
      <c r="B565"/>
      <c r="C565"/>
    </row>
    <row r="566" spans="2:3" x14ac:dyDescent="0.2">
      <c r="B566"/>
      <c r="C566"/>
    </row>
    <row r="567" spans="2:3" x14ac:dyDescent="0.2">
      <c r="B567"/>
      <c r="C567"/>
    </row>
    <row r="568" spans="2:3" x14ac:dyDescent="0.2">
      <c r="B568"/>
      <c r="C568"/>
    </row>
    <row r="569" spans="2:3" x14ac:dyDescent="0.2">
      <c r="B569"/>
      <c r="C569"/>
    </row>
    <row r="570" spans="2:3" x14ac:dyDescent="0.2">
      <c r="B570"/>
      <c r="C570"/>
    </row>
    <row r="571" spans="2:3" x14ac:dyDescent="0.2">
      <c r="B571"/>
      <c r="C571"/>
    </row>
    <row r="572" spans="2:3" x14ac:dyDescent="0.2">
      <c r="B572"/>
      <c r="C572"/>
    </row>
    <row r="573" spans="2:3" x14ac:dyDescent="0.2">
      <c r="B573"/>
      <c r="C573"/>
    </row>
    <row r="574" spans="2:3" x14ac:dyDescent="0.2">
      <c r="B574"/>
      <c r="C574"/>
    </row>
    <row r="575" spans="2:3" x14ac:dyDescent="0.2">
      <c r="B575"/>
      <c r="C575"/>
    </row>
    <row r="576" spans="2:3" x14ac:dyDescent="0.2">
      <c r="B576"/>
      <c r="C576"/>
    </row>
    <row r="577" spans="2:3" x14ac:dyDescent="0.2">
      <c r="B577"/>
      <c r="C577"/>
    </row>
    <row r="578" spans="2:3" x14ac:dyDescent="0.2">
      <c r="B578"/>
      <c r="C578"/>
    </row>
    <row r="579" spans="2:3" x14ac:dyDescent="0.2">
      <c r="B579"/>
      <c r="C579"/>
    </row>
    <row r="580" spans="2:3" x14ac:dyDescent="0.2">
      <c r="B580"/>
      <c r="C580"/>
    </row>
    <row r="581" spans="2:3" x14ac:dyDescent="0.2">
      <c r="B581"/>
      <c r="C581"/>
    </row>
    <row r="582" spans="2:3" x14ac:dyDescent="0.2">
      <c r="B582"/>
      <c r="C582"/>
    </row>
    <row r="583" spans="2:3" x14ac:dyDescent="0.2">
      <c r="B583"/>
      <c r="C583"/>
    </row>
    <row r="584" spans="2:3" x14ac:dyDescent="0.2">
      <c r="B584"/>
      <c r="C584"/>
    </row>
    <row r="585" spans="2:3" x14ac:dyDescent="0.2">
      <c r="B585"/>
      <c r="C585"/>
    </row>
    <row r="586" spans="2:3" x14ac:dyDescent="0.2">
      <c r="B586"/>
      <c r="C586"/>
    </row>
    <row r="587" spans="2:3" x14ac:dyDescent="0.2">
      <c r="B587"/>
      <c r="C587"/>
    </row>
    <row r="588" spans="2:3" x14ac:dyDescent="0.2">
      <c r="B588"/>
      <c r="C588"/>
    </row>
    <row r="589" spans="2:3" x14ac:dyDescent="0.2">
      <c r="B589"/>
      <c r="C589"/>
    </row>
    <row r="590" spans="2:3" x14ac:dyDescent="0.2">
      <c r="B590"/>
      <c r="C590"/>
    </row>
    <row r="591" spans="2:3" x14ac:dyDescent="0.2">
      <c r="B591"/>
      <c r="C591"/>
    </row>
    <row r="592" spans="2:3" x14ac:dyDescent="0.2">
      <c r="B592"/>
      <c r="C592"/>
    </row>
    <row r="593" spans="2:3" x14ac:dyDescent="0.2">
      <c r="B593"/>
      <c r="C593"/>
    </row>
    <row r="594" spans="2:3" x14ac:dyDescent="0.2">
      <c r="B594"/>
      <c r="C594"/>
    </row>
    <row r="595" spans="2:3" x14ac:dyDescent="0.2">
      <c r="B595"/>
      <c r="C595"/>
    </row>
    <row r="596" spans="2:3" x14ac:dyDescent="0.2">
      <c r="B596"/>
      <c r="C596"/>
    </row>
    <row r="597" spans="2:3" x14ac:dyDescent="0.2">
      <c r="B597"/>
      <c r="C597"/>
    </row>
    <row r="598" spans="2:3" x14ac:dyDescent="0.2">
      <c r="B598"/>
      <c r="C598"/>
    </row>
    <row r="599" spans="2:3" x14ac:dyDescent="0.2">
      <c r="B599"/>
      <c r="C599"/>
    </row>
    <row r="600" spans="2:3" x14ac:dyDescent="0.2">
      <c r="B600"/>
      <c r="C600"/>
    </row>
    <row r="601" spans="2:3" x14ac:dyDescent="0.2">
      <c r="B601"/>
      <c r="C601"/>
    </row>
    <row r="602" spans="2:3" x14ac:dyDescent="0.2">
      <c r="B602"/>
      <c r="C602"/>
    </row>
    <row r="603" spans="2:3" x14ac:dyDescent="0.2">
      <c r="B603"/>
      <c r="C603"/>
    </row>
    <row r="604" spans="2:3" x14ac:dyDescent="0.2">
      <c r="B604"/>
      <c r="C604"/>
    </row>
    <row r="605" spans="2:3" x14ac:dyDescent="0.2">
      <c r="B605"/>
      <c r="C605"/>
    </row>
    <row r="606" spans="2:3" x14ac:dyDescent="0.2">
      <c r="B606"/>
      <c r="C606"/>
    </row>
    <row r="607" spans="2:3" x14ac:dyDescent="0.2">
      <c r="B607"/>
      <c r="C607"/>
    </row>
    <row r="608" spans="2:3" x14ac:dyDescent="0.2">
      <c r="B608"/>
      <c r="C608"/>
    </row>
    <row r="609" spans="2:3" x14ac:dyDescent="0.2">
      <c r="B609"/>
      <c r="C609"/>
    </row>
    <row r="610" spans="2:3" x14ac:dyDescent="0.2">
      <c r="B610"/>
      <c r="C610"/>
    </row>
    <row r="611" spans="2:3" x14ac:dyDescent="0.2">
      <c r="B611"/>
      <c r="C611"/>
    </row>
    <row r="612" spans="2:3" x14ac:dyDescent="0.2">
      <c r="B612"/>
      <c r="C612"/>
    </row>
    <row r="613" spans="2:3" x14ac:dyDescent="0.2">
      <c r="B613"/>
      <c r="C613"/>
    </row>
    <row r="614" spans="2:3" x14ac:dyDescent="0.2">
      <c r="B614"/>
      <c r="C614"/>
    </row>
    <row r="615" spans="2:3" x14ac:dyDescent="0.2">
      <c r="B615"/>
      <c r="C615"/>
    </row>
    <row r="616" spans="2:3" x14ac:dyDescent="0.2">
      <c r="B616"/>
      <c r="C616"/>
    </row>
    <row r="617" spans="2:3" x14ac:dyDescent="0.2">
      <c r="B617"/>
      <c r="C617"/>
    </row>
    <row r="618" spans="2:3" x14ac:dyDescent="0.2">
      <c r="B618"/>
      <c r="C618"/>
    </row>
    <row r="619" spans="2:3" x14ac:dyDescent="0.2">
      <c r="B619"/>
      <c r="C619"/>
    </row>
    <row r="620" spans="2:3" x14ac:dyDescent="0.2">
      <c r="B620"/>
      <c r="C620"/>
    </row>
    <row r="621" spans="2:3" x14ac:dyDescent="0.2">
      <c r="B621"/>
      <c r="C621"/>
    </row>
    <row r="622" spans="2:3" x14ac:dyDescent="0.2">
      <c r="B622"/>
      <c r="C622"/>
    </row>
    <row r="623" spans="2:3" x14ac:dyDescent="0.2">
      <c r="B623"/>
      <c r="C623"/>
    </row>
    <row r="624" spans="2:3" x14ac:dyDescent="0.2">
      <c r="B624"/>
      <c r="C624"/>
    </row>
    <row r="625" spans="2:3" x14ac:dyDescent="0.2">
      <c r="B625"/>
      <c r="C625"/>
    </row>
    <row r="626" spans="2:3" x14ac:dyDescent="0.2">
      <c r="B626"/>
      <c r="C626"/>
    </row>
    <row r="627" spans="2:3" x14ac:dyDescent="0.2">
      <c r="B627"/>
      <c r="C627"/>
    </row>
    <row r="628" spans="2:3" x14ac:dyDescent="0.2">
      <c r="B628"/>
      <c r="C628"/>
    </row>
    <row r="629" spans="2:3" x14ac:dyDescent="0.2">
      <c r="B629"/>
      <c r="C629"/>
    </row>
    <row r="630" spans="2:3" x14ac:dyDescent="0.2">
      <c r="B630"/>
      <c r="C630"/>
    </row>
    <row r="631" spans="2:3" x14ac:dyDescent="0.2">
      <c r="B631"/>
      <c r="C631"/>
    </row>
    <row r="632" spans="2:3" x14ac:dyDescent="0.2">
      <c r="B632"/>
      <c r="C632"/>
    </row>
    <row r="633" spans="2:3" x14ac:dyDescent="0.2">
      <c r="B633"/>
      <c r="C633"/>
    </row>
    <row r="634" spans="2:3" x14ac:dyDescent="0.2">
      <c r="B634"/>
      <c r="C634"/>
    </row>
    <row r="635" spans="2:3" x14ac:dyDescent="0.2">
      <c r="B635"/>
      <c r="C635"/>
    </row>
    <row r="636" spans="2:3" x14ac:dyDescent="0.2">
      <c r="B636"/>
      <c r="C636"/>
    </row>
    <row r="637" spans="2:3" x14ac:dyDescent="0.2">
      <c r="B637"/>
      <c r="C637"/>
    </row>
    <row r="638" spans="2:3" x14ac:dyDescent="0.2">
      <c r="B638"/>
      <c r="C638"/>
    </row>
    <row r="639" spans="2:3" x14ac:dyDescent="0.2">
      <c r="B639"/>
      <c r="C639"/>
    </row>
    <row r="640" spans="2:3" x14ac:dyDescent="0.2">
      <c r="B640"/>
      <c r="C640"/>
    </row>
    <row r="641" spans="2:3" x14ac:dyDescent="0.2">
      <c r="B641"/>
      <c r="C641"/>
    </row>
    <row r="642" spans="2:3" x14ac:dyDescent="0.2">
      <c r="B642"/>
      <c r="C642"/>
    </row>
    <row r="643" spans="2:3" x14ac:dyDescent="0.2">
      <c r="B643"/>
      <c r="C643"/>
    </row>
    <row r="644" spans="2:3" x14ac:dyDescent="0.2">
      <c r="B644"/>
      <c r="C644"/>
    </row>
    <row r="645" spans="2:3" x14ac:dyDescent="0.2">
      <c r="B645"/>
      <c r="C645"/>
    </row>
    <row r="646" spans="2:3" x14ac:dyDescent="0.2">
      <c r="B646"/>
      <c r="C646"/>
    </row>
    <row r="647" spans="2:3" x14ac:dyDescent="0.2">
      <c r="B647"/>
      <c r="C647"/>
    </row>
    <row r="648" spans="2:3" x14ac:dyDescent="0.2">
      <c r="B648"/>
      <c r="C648"/>
    </row>
    <row r="649" spans="2:3" x14ac:dyDescent="0.2">
      <c r="B649"/>
      <c r="C649"/>
    </row>
    <row r="650" spans="2:3" x14ac:dyDescent="0.2">
      <c r="B650"/>
      <c r="C650"/>
    </row>
    <row r="651" spans="2:3" x14ac:dyDescent="0.2">
      <c r="B651"/>
      <c r="C651"/>
    </row>
    <row r="652" spans="2:3" x14ac:dyDescent="0.2">
      <c r="B652"/>
      <c r="C652"/>
    </row>
    <row r="653" spans="2:3" x14ac:dyDescent="0.2">
      <c r="B653"/>
      <c r="C653"/>
    </row>
    <row r="654" spans="2:3" x14ac:dyDescent="0.2">
      <c r="B654"/>
      <c r="C654"/>
    </row>
    <row r="655" spans="2:3" x14ac:dyDescent="0.2">
      <c r="B655"/>
      <c r="C655"/>
    </row>
    <row r="656" spans="2:3" x14ac:dyDescent="0.2">
      <c r="B656"/>
      <c r="C656"/>
    </row>
    <row r="657" spans="2:3" x14ac:dyDescent="0.2">
      <c r="B657"/>
      <c r="C657"/>
    </row>
    <row r="658" spans="2:3" x14ac:dyDescent="0.2">
      <c r="B658"/>
      <c r="C658"/>
    </row>
    <row r="659" spans="2:3" x14ac:dyDescent="0.2">
      <c r="B659"/>
      <c r="C659"/>
    </row>
    <row r="660" spans="2:3" x14ac:dyDescent="0.2">
      <c r="B660"/>
      <c r="C660"/>
    </row>
    <row r="661" spans="2:3" x14ac:dyDescent="0.2">
      <c r="B661"/>
      <c r="C661"/>
    </row>
    <row r="662" spans="2:3" x14ac:dyDescent="0.2">
      <c r="B662"/>
      <c r="C662"/>
    </row>
    <row r="663" spans="2:3" x14ac:dyDescent="0.2">
      <c r="B663"/>
      <c r="C663"/>
    </row>
    <row r="664" spans="2:3" x14ac:dyDescent="0.2">
      <c r="B664"/>
      <c r="C664"/>
    </row>
    <row r="665" spans="2:3" x14ac:dyDescent="0.2">
      <c r="B665"/>
      <c r="C665"/>
    </row>
    <row r="666" spans="2:3" x14ac:dyDescent="0.2">
      <c r="B666"/>
      <c r="C666"/>
    </row>
    <row r="667" spans="2:3" x14ac:dyDescent="0.2">
      <c r="B667"/>
      <c r="C667"/>
    </row>
    <row r="668" spans="2:3" x14ac:dyDescent="0.2">
      <c r="B668"/>
      <c r="C668"/>
    </row>
    <row r="669" spans="2:3" x14ac:dyDescent="0.2">
      <c r="B669"/>
      <c r="C669"/>
    </row>
    <row r="670" spans="2:3" x14ac:dyDescent="0.2">
      <c r="B670"/>
      <c r="C670"/>
    </row>
    <row r="671" spans="2:3" x14ac:dyDescent="0.2">
      <c r="B671"/>
      <c r="C671"/>
    </row>
    <row r="672" spans="2:3" x14ac:dyDescent="0.2">
      <c r="B672"/>
      <c r="C672"/>
    </row>
    <row r="673" spans="2:3" x14ac:dyDescent="0.2">
      <c r="B673"/>
      <c r="C673"/>
    </row>
    <row r="674" spans="2:3" x14ac:dyDescent="0.2">
      <c r="B674"/>
      <c r="C674"/>
    </row>
    <row r="675" spans="2:3" x14ac:dyDescent="0.2">
      <c r="B675"/>
      <c r="C675"/>
    </row>
    <row r="676" spans="2:3" x14ac:dyDescent="0.2">
      <c r="B676"/>
      <c r="C676"/>
    </row>
    <row r="677" spans="2:3" x14ac:dyDescent="0.2">
      <c r="B677"/>
      <c r="C677"/>
    </row>
    <row r="678" spans="2:3" x14ac:dyDescent="0.2">
      <c r="B678"/>
      <c r="C678"/>
    </row>
    <row r="679" spans="2:3" x14ac:dyDescent="0.2">
      <c r="B679"/>
      <c r="C679"/>
    </row>
    <row r="680" spans="2:3" x14ac:dyDescent="0.2">
      <c r="B680"/>
      <c r="C680"/>
    </row>
    <row r="681" spans="2:3" x14ac:dyDescent="0.2">
      <c r="B681"/>
      <c r="C681"/>
    </row>
    <row r="682" spans="2:3" x14ac:dyDescent="0.2">
      <c r="B682"/>
      <c r="C682"/>
    </row>
    <row r="683" spans="2:3" x14ac:dyDescent="0.2">
      <c r="B683"/>
      <c r="C683"/>
    </row>
    <row r="684" spans="2:3" x14ac:dyDescent="0.2">
      <c r="B684"/>
      <c r="C684"/>
    </row>
    <row r="685" spans="2:3" x14ac:dyDescent="0.2">
      <c r="B685"/>
      <c r="C685"/>
    </row>
    <row r="686" spans="2:3" x14ac:dyDescent="0.2">
      <c r="B686"/>
      <c r="C686"/>
    </row>
    <row r="687" spans="2:3" x14ac:dyDescent="0.2">
      <c r="B687"/>
      <c r="C687"/>
    </row>
    <row r="688" spans="2:3" x14ac:dyDescent="0.2">
      <c r="B688"/>
      <c r="C688"/>
    </row>
    <row r="689" spans="2:3" x14ac:dyDescent="0.2">
      <c r="B689"/>
      <c r="C689"/>
    </row>
    <row r="690" spans="2:3" x14ac:dyDescent="0.2">
      <c r="B690"/>
      <c r="C690"/>
    </row>
    <row r="691" spans="2:3" x14ac:dyDescent="0.2">
      <c r="B691"/>
      <c r="C691"/>
    </row>
    <row r="692" spans="2:3" x14ac:dyDescent="0.2">
      <c r="B692"/>
      <c r="C692"/>
    </row>
    <row r="693" spans="2:3" x14ac:dyDescent="0.2">
      <c r="B693"/>
      <c r="C693"/>
    </row>
    <row r="694" spans="2:3" x14ac:dyDescent="0.2">
      <c r="B694"/>
      <c r="C694"/>
    </row>
    <row r="695" spans="2:3" x14ac:dyDescent="0.2">
      <c r="B695"/>
      <c r="C695"/>
    </row>
    <row r="696" spans="2:3" x14ac:dyDescent="0.2">
      <c r="B696"/>
      <c r="C696"/>
    </row>
    <row r="697" spans="2:3" x14ac:dyDescent="0.2">
      <c r="B697"/>
      <c r="C697"/>
    </row>
    <row r="698" spans="2:3" x14ac:dyDescent="0.2">
      <c r="B698"/>
      <c r="C698"/>
    </row>
    <row r="699" spans="2:3" x14ac:dyDescent="0.2">
      <c r="B699"/>
      <c r="C699"/>
    </row>
    <row r="700" spans="2:3" x14ac:dyDescent="0.2">
      <c r="B700"/>
      <c r="C700"/>
    </row>
    <row r="701" spans="2:3" x14ac:dyDescent="0.2">
      <c r="B701"/>
      <c r="C701"/>
    </row>
    <row r="702" spans="2:3" x14ac:dyDescent="0.2">
      <c r="B702"/>
      <c r="C702"/>
    </row>
    <row r="703" spans="2:3" x14ac:dyDescent="0.2">
      <c r="B703"/>
      <c r="C703"/>
    </row>
    <row r="704" spans="2:3" x14ac:dyDescent="0.2">
      <c r="B704"/>
      <c r="C704"/>
    </row>
    <row r="705" spans="2:3" x14ac:dyDescent="0.2">
      <c r="B705"/>
      <c r="C705"/>
    </row>
    <row r="706" spans="2:3" x14ac:dyDescent="0.2">
      <c r="B706"/>
      <c r="C706"/>
    </row>
    <row r="707" spans="2:3" x14ac:dyDescent="0.2">
      <c r="B707"/>
      <c r="C707"/>
    </row>
    <row r="708" spans="2:3" x14ac:dyDescent="0.2">
      <c r="B708"/>
      <c r="C708"/>
    </row>
    <row r="709" spans="2:3" x14ac:dyDescent="0.2">
      <c r="B709"/>
      <c r="C709"/>
    </row>
    <row r="710" spans="2:3" x14ac:dyDescent="0.2">
      <c r="B710"/>
      <c r="C710"/>
    </row>
    <row r="711" spans="2:3" x14ac:dyDescent="0.2">
      <c r="B711"/>
      <c r="C711"/>
    </row>
    <row r="712" spans="2:3" x14ac:dyDescent="0.2">
      <c r="B712"/>
      <c r="C712"/>
    </row>
    <row r="713" spans="2:3" x14ac:dyDescent="0.2">
      <c r="B713"/>
      <c r="C713"/>
    </row>
    <row r="714" spans="2:3" x14ac:dyDescent="0.2">
      <c r="B714"/>
      <c r="C714"/>
    </row>
    <row r="715" spans="2:3" x14ac:dyDescent="0.2">
      <c r="B715"/>
      <c r="C715"/>
    </row>
    <row r="716" spans="2:3" x14ac:dyDescent="0.2">
      <c r="B716"/>
      <c r="C716"/>
    </row>
    <row r="717" spans="2:3" x14ac:dyDescent="0.2">
      <c r="B717"/>
      <c r="C717"/>
    </row>
    <row r="718" spans="2:3" x14ac:dyDescent="0.2">
      <c r="B718"/>
      <c r="C718"/>
    </row>
    <row r="719" spans="2:3" x14ac:dyDescent="0.2">
      <c r="B719"/>
      <c r="C719"/>
    </row>
    <row r="720" spans="2:3" x14ac:dyDescent="0.2">
      <c r="B720"/>
      <c r="C720"/>
    </row>
    <row r="721" spans="2:3" x14ac:dyDescent="0.2">
      <c r="B721"/>
      <c r="C721"/>
    </row>
    <row r="722" spans="2:3" x14ac:dyDescent="0.2">
      <c r="B722"/>
      <c r="C722"/>
    </row>
    <row r="723" spans="2:3" x14ac:dyDescent="0.2">
      <c r="B723"/>
      <c r="C723"/>
    </row>
    <row r="724" spans="2:3" x14ac:dyDescent="0.2">
      <c r="B724"/>
      <c r="C724"/>
    </row>
    <row r="725" spans="2:3" x14ac:dyDescent="0.2">
      <c r="B725"/>
      <c r="C725"/>
    </row>
    <row r="726" spans="2:3" x14ac:dyDescent="0.2">
      <c r="B726"/>
      <c r="C726"/>
    </row>
    <row r="727" spans="2:3" x14ac:dyDescent="0.2">
      <c r="B727"/>
      <c r="C727"/>
    </row>
    <row r="728" spans="2:3" x14ac:dyDescent="0.2">
      <c r="B728"/>
      <c r="C728"/>
    </row>
    <row r="729" spans="2:3" x14ac:dyDescent="0.2">
      <c r="B729"/>
      <c r="C729"/>
    </row>
    <row r="730" spans="2:3" x14ac:dyDescent="0.2">
      <c r="B730"/>
      <c r="C730"/>
    </row>
    <row r="731" spans="2:3" x14ac:dyDescent="0.2">
      <c r="B731"/>
      <c r="C731"/>
    </row>
    <row r="732" spans="2:3" x14ac:dyDescent="0.2">
      <c r="B732"/>
      <c r="C732"/>
    </row>
    <row r="733" spans="2:3" x14ac:dyDescent="0.2">
      <c r="B733"/>
      <c r="C733"/>
    </row>
    <row r="734" spans="2:3" x14ac:dyDescent="0.2">
      <c r="B734"/>
      <c r="C734"/>
    </row>
    <row r="735" spans="2:3" x14ac:dyDescent="0.2">
      <c r="B735"/>
      <c r="C735"/>
    </row>
    <row r="736" spans="2:3" x14ac:dyDescent="0.2">
      <c r="B736"/>
      <c r="C736"/>
    </row>
    <row r="737" spans="2:3" x14ac:dyDescent="0.2">
      <c r="B737"/>
      <c r="C737"/>
    </row>
    <row r="738" spans="2:3" x14ac:dyDescent="0.2">
      <c r="B738"/>
      <c r="C738"/>
    </row>
    <row r="739" spans="2:3" x14ac:dyDescent="0.2">
      <c r="B739"/>
      <c r="C739"/>
    </row>
    <row r="740" spans="2:3" x14ac:dyDescent="0.2">
      <c r="B740"/>
      <c r="C740"/>
    </row>
    <row r="741" spans="2:3" x14ac:dyDescent="0.2">
      <c r="B741"/>
      <c r="C741"/>
    </row>
    <row r="742" spans="2:3" x14ac:dyDescent="0.2">
      <c r="B742"/>
      <c r="C742"/>
    </row>
    <row r="743" spans="2:3" x14ac:dyDescent="0.2">
      <c r="B743"/>
      <c r="C743"/>
    </row>
    <row r="744" spans="2:3" x14ac:dyDescent="0.2">
      <c r="B744"/>
      <c r="C744"/>
    </row>
    <row r="745" spans="2:3" x14ac:dyDescent="0.2">
      <c r="B745"/>
      <c r="C745"/>
    </row>
    <row r="746" spans="2:3" x14ac:dyDescent="0.2">
      <c r="B746"/>
      <c r="C746"/>
    </row>
    <row r="747" spans="2:3" x14ac:dyDescent="0.2">
      <c r="B747"/>
      <c r="C747"/>
    </row>
    <row r="748" spans="2:3" x14ac:dyDescent="0.2">
      <c r="B748"/>
      <c r="C748"/>
    </row>
    <row r="749" spans="2:3" x14ac:dyDescent="0.2">
      <c r="B749"/>
      <c r="C749"/>
    </row>
    <row r="750" spans="2:3" x14ac:dyDescent="0.2">
      <c r="B750"/>
      <c r="C750"/>
    </row>
    <row r="751" spans="2:3" x14ac:dyDescent="0.2">
      <c r="B751"/>
      <c r="C751"/>
    </row>
    <row r="752" spans="2:3" x14ac:dyDescent="0.2">
      <c r="B752"/>
      <c r="C752"/>
    </row>
    <row r="753" spans="2:3" x14ac:dyDescent="0.2">
      <c r="B753"/>
      <c r="C753"/>
    </row>
    <row r="754" spans="2:3" x14ac:dyDescent="0.2">
      <c r="B754"/>
      <c r="C754"/>
    </row>
    <row r="755" spans="2:3" x14ac:dyDescent="0.2">
      <c r="B755"/>
      <c r="C755"/>
    </row>
    <row r="756" spans="2:3" x14ac:dyDescent="0.2">
      <c r="B756"/>
      <c r="C756"/>
    </row>
    <row r="757" spans="2:3" x14ac:dyDescent="0.2">
      <c r="B757"/>
      <c r="C757"/>
    </row>
    <row r="758" spans="2:3" x14ac:dyDescent="0.2">
      <c r="B758"/>
      <c r="C758"/>
    </row>
    <row r="759" spans="2:3" x14ac:dyDescent="0.2">
      <c r="B759"/>
      <c r="C759"/>
    </row>
    <row r="760" spans="2:3" x14ac:dyDescent="0.2">
      <c r="B760"/>
      <c r="C760"/>
    </row>
    <row r="761" spans="2:3" x14ac:dyDescent="0.2">
      <c r="B761"/>
      <c r="C761"/>
    </row>
    <row r="762" spans="2:3" x14ac:dyDescent="0.2">
      <c r="B762"/>
      <c r="C762"/>
    </row>
    <row r="763" spans="2:3" x14ac:dyDescent="0.2">
      <c r="B763"/>
      <c r="C763"/>
    </row>
    <row r="764" spans="2:3" x14ac:dyDescent="0.2">
      <c r="B764"/>
      <c r="C764"/>
    </row>
    <row r="765" spans="2:3" x14ac:dyDescent="0.2">
      <c r="B765"/>
      <c r="C765"/>
    </row>
    <row r="766" spans="2:3" x14ac:dyDescent="0.2">
      <c r="B766"/>
      <c r="C766"/>
    </row>
    <row r="767" spans="2:3" x14ac:dyDescent="0.2">
      <c r="B767"/>
      <c r="C767"/>
    </row>
    <row r="768" spans="2:3" x14ac:dyDescent="0.2">
      <c r="B768"/>
      <c r="C768"/>
    </row>
    <row r="769" spans="2:3" x14ac:dyDescent="0.2">
      <c r="B769"/>
      <c r="C769"/>
    </row>
    <row r="770" spans="2:3" x14ac:dyDescent="0.2">
      <c r="B770"/>
      <c r="C770"/>
    </row>
    <row r="771" spans="2:3" x14ac:dyDescent="0.2">
      <c r="B771"/>
      <c r="C771"/>
    </row>
    <row r="772" spans="2:3" x14ac:dyDescent="0.2">
      <c r="B772"/>
      <c r="C772"/>
    </row>
    <row r="773" spans="2:3" x14ac:dyDescent="0.2">
      <c r="B773"/>
      <c r="C773"/>
    </row>
    <row r="774" spans="2:3" x14ac:dyDescent="0.2">
      <c r="B774"/>
      <c r="C774"/>
    </row>
    <row r="775" spans="2:3" x14ac:dyDescent="0.2">
      <c r="B775"/>
      <c r="C775"/>
    </row>
    <row r="776" spans="2:3" x14ac:dyDescent="0.2">
      <c r="B776"/>
      <c r="C776"/>
    </row>
    <row r="777" spans="2:3" x14ac:dyDescent="0.2">
      <c r="B777"/>
      <c r="C777"/>
    </row>
    <row r="778" spans="2:3" x14ac:dyDescent="0.2">
      <c r="B778"/>
      <c r="C778"/>
    </row>
    <row r="779" spans="2:3" x14ac:dyDescent="0.2">
      <c r="B779"/>
      <c r="C779"/>
    </row>
    <row r="780" spans="2:3" x14ac:dyDescent="0.2">
      <c r="B780"/>
      <c r="C780"/>
    </row>
    <row r="781" spans="2:3" x14ac:dyDescent="0.2">
      <c r="B781"/>
      <c r="C781"/>
    </row>
    <row r="782" spans="2:3" x14ac:dyDescent="0.2">
      <c r="B782"/>
      <c r="C782"/>
    </row>
    <row r="783" spans="2:3" x14ac:dyDescent="0.2">
      <c r="B783"/>
      <c r="C783"/>
    </row>
    <row r="784" spans="2:3" x14ac:dyDescent="0.2">
      <c r="B784"/>
      <c r="C784"/>
    </row>
    <row r="785" spans="2:3" x14ac:dyDescent="0.2">
      <c r="B785"/>
      <c r="C785"/>
    </row>
    <row r="786" spans="2:3" x14ac:dyDescent="0.2">
      <c r="B786"/>
      <c r="C786"/>
    </row>
    <row r="787" spans="2:3" x14ac:dyDescent="0.2">
      <c r="B787"/>
      <c r="C787"/>
    </row>
    <row r="788" spans="2:3" x14ac:dyDescent="0.2">
      <c r="B788"/>
      <c r="C788"/>
    </row>
    <row r="789" spans="2:3" x14ac:dyDescent="0.2">
      <c r="B789"/>
      <c r="C789"/>
    </row>
    <row r="790" spans="2:3" x14ac:dyDescent="0.2">
      <c r="B790"/>
      <c r="C790"/>
    </row>
    <row r="791" spans="2:3" x14ac:dyDescent="0.2">
      <c r="B791"/>
      <c r="C791"/>
    </row>
    <row r="792" spans="2:3" x14ac:dyDescent="0.2">
      <c r="B792"/>
      <c r="C792"/>
    </row>
    <row r="793" spans="2:3" x14ac:dyDescent="0.2">
      <c r="B793"/>
      <c r="C793"/>
    </row>
    <row r="794" spans="2:3" x14ac:dyDescent="0.2">
      <c r="B794"/>
      <c r="C794"/>
    </row>
    <row r="795" spans="2:3" x14ac:dyDescent="0.2">
      <c r="B795"/>
      <c r="C795"/>
    </row>
    <row r="796" spans="2:3" x14ac:dyDescent="0.2">
      <c r="B796"/>
      <c r="C796"/>
    </row>
    <row r="797" spans="2:3" x14ac:dyDescent="0.2">
      <c r="B797"/>
      <c r="C797"/>
    </row>
    <row r="798" spans="2:3" x14ac:dyDescent="0.2">
      <c r="B798"/>
      <c r="C798"/>
    </row>
    <row r="799" spans="2:3" x14ac:dyDescent="0.2">
      <c r="B799"/>
      <c r="C799"/>
    </row>
    <row r="800" spans="2:3" x14ac:dyDescent="0.2">
      <c r="B800"/>
      <c r="C800"/>
    </row>
    <row r="801" spans="2:3" x14ac:dyDescent="0.2">
      <c r="B801"/>
      <c r="C801"/>
    </row>
    <row r="802" spans="2:3" x14ac:dyDescent="0.2">
      <c r="B802"/>
      <c r="C802"/>
    </row>
    <row r="803" spans="2:3" x14ac:dyDescent="0.2">
      <c r="B803"/>
      <c r="C803"/>
    </row>
    <row r="804" spans="2:3" x14ac:dyDescent="0.2">
      <c r="B804"/>
      <c r="C804"/>
    </row>
    <row r="805" spans="2:3" x14ac:dyDescent="0.2">
      <c r="B805"/>
      <c r="C805"/>
    </row>
    <row r="806" spans="2:3" x14ac:dyDescent="0.2">
      <c r="B806"/>
      <c r="C806"/>
    </row>
    <row r="807" spans="2:3" x14ac:dyDescent="0.2">
      <c r="B807"/>
      <c r="C807"/>
    </row>
    <row r="808" spans="2:3" x14ac:dyDescent="0.2">
      <c r="B808"/>
      <c r="C808"/>
    </row>
    <row r="809" spans="2:3" x14ac:dyDescent="0.2">
      <c r="B809"/>
      <c r="C809"/>
    </row>
    <row r="810" spans="2:3" x14ac:dyDescent="0.2">
      <c r="B810"/>
      <c r="C810"/>
    </row>
    <row r="811" spans="2:3" x14ac:dyDescent="0.2">
      <c r="B811"/>
      <c r="C811"/>
    </row>
    <row r="812" spans="2:3" x14ac:dyDescent="0.2">
      <c r="B812"/>
      <c r="C812"/>
    </row>
    <row r="813" spans="2:3" x14ac:dyDescent="0.2">
      <c r="B813"/>
      <c r="C813"/>
    </row>
    <row r="814" spans="2:3" x14ac:dyDescent="0.2">
      <c r="B814"/>
      <c r="C814"/>
    </row>
    <row r="815" spans="2:3" x14ac:dyDescent="0.2">
      <c r="B815"/>
      <c r="C815"/>
    </row>
    <row r="816" spans="2:3" x14ac:dyDescent="0.2">
      <c r="B816"/>
      <c r="C816"/>
    </row>
    <row r="817" spans="2:3" x14ac:dyDescent="0.2">
      <c r="B817"/>
      <c r="C817"/>
    </row>
    <row r="818" spans="2:3" x14ac:dyDescent="0.2">
      <c r="B818"/>
      <c r="C818"/>
    </row>
    <row r="819" spans="2:3" x14ac:dyDescent="0.2">
      <c r="B819"/>
      <c r="C819"/>
    </row>
    <row r="820" spans="2:3" x14ac:dyDescent="0.2">
      <c r="B820"/>
      <c r="C820"/>
    </row>
    <row r="821" spans="2:3" x14ac:dyDescent="0.2">
      <c r="B821"/>
      <c r="C821"/>
    </row>
    <row r="822" spans="2:3" x14ac:dyDescent="0.2">
      <c r="B822"/>
      <c r="C822"/>
    </row>
    <row r="823" spans="2:3" x14ac:dyDescent="0.2">
      <c r="B823"/>
      <c r="C823"/>
    </row>
    <row r="824" spans="2:3" x14ac:dyDescent="0.2">
      <c r="B824"/>
      <c r="C824"/>
    </row>
    <row r="825" spans="2:3" x14ac:dyDescent="0.2">
      <c r="B825"/>
      <c r="C825"/>
    </row>
    <row r="826" spans="2:3" x14ac:dyDescent="0.2">
      <c r="B826"/>
      <c r="C826"/>
    </row>
    <row r="827" spans="2:3" x14ac:dyDescent="0.2">
      <c r="B827"/>
      <c r="C827"/>
    </row>
    <row r="828" spans="2:3" x14ac:dyDescent="0.2">
      <c r="B828"/>
      <c r="C828"/>
    </row>
    <row r="829" spans="2:3" x14ac:dyDescent="0.2">
      <c r="B829"/>
      <c r="C829"/>
    </row>
    <row r="830" spans="2:3" x14ac:dyDescent="0.2">
      <c r="B830"/>
      <c r="C830"/>
    </row>
    <row r="831" spans="2:3" x14ac:dyDescent="0.2">
      <c r="B831"/>
      <c r="C831"/>
    </row>
    <row r="832" spans="2:3" x14ac:dyDescent="0.2">
      <c r="B832"/>
      <c r="C832"/>
    </row>
    <row r="833" spans="2:3" x14ac:dyDescent="0.2">
      <c r="B833"/>
      <c r="C833"/>
    </row>
    <row r="834" spans="2:3" x14ac:dyDescent="0.2">
      <c r="B834"/>
      <c r="C834"/>
    </row>
    <row r="835" spans="2:3" x14ac:dyDescent="0.2">
      <c r="B835"/>
      <c r="C835"/>
    </row>
    <row r="836" spans="2:3" x14ac:dyDescent="0.2">
      <c r="B836"/>
      <c r="C836"/>
    </row>
    <row r="837" spans="2:3" x14ac:dyDescent="0.2">
      <c r="B837"/>
      <c r="C837"/>
    </row>
    <row r="838" spans="2:3" x14ac:dyDescent="0.2">
      <c r="B838"/>
      <c r="C838"/>
    </row>
    <row r="839" spans="2:3" x14ac:dyDescent="0.2">
      <c r="B839"/>
      <c r="C839"/>
    </row>
    <row r="840" spans="2:3" x14ac:dyDescent="0.2">
      <c r="B840"/>
      <c r="C840"/>
    </row>
    <row r="841" spans="2:3" x14ac:dyDescent="0.2">
      <c r="B841"/>
      <c r="C841"/>
    </row>
    <row r="842" spans="2:3" x14ac:dyDescent="0.2">
      <c r="B842"/>
      <c r="C842"/>
    </row>
    <row r="843" spans="2:3" x14ac:dyDescent="0.2">
      <c r="B843"/>
      <c r="C843"/>
    </row>
    <row r="844" spans="2:3" x14ac:dyDescent="0.2">
      <c r="B844"/>
      <c r="C844"/>
    </row>
    <row r="845" spans="2:3" x14ac:dyDescent="0.2">
      <c r="B845"/>
      <c r="C845"/>
    </row>
    <row r="846" spans="2:3" x14ac:dyDescent="0.2">
      <c r="B846"/>
      <c r="C846"/>
    </row>
    <row r="847" spans="2:3" x14ac:dyDescent="0.2">
      <c r="B847"/>
      <c r="C847"/>
    </row>
    <row r="848" spans="2:3" x14ac:dyDescent="0.2">
      <c r="B848"/>
      <c r="C848"/>
    </row>
    <row r="849" spans="2:3" x14ac:dyDescent="0.2">
      <c r="B849"/>
      <c r="C849"/>
    </row>
    <row r="850" spans="2:3" x14ac:dyDescent="0.2">
      <c r="B850"/>
      <c r="C850"/>
    </row>
    <row r="851" spans="2:3" x14ac:dyDescent="0.2">
      <c r="B851"/>
      <c r="C851"/>
    </row>
    <row r="852" spans="2:3" x14ac:dyDescent="0.2">
      <c r="B852"/>
      <c r="C852"/>
    </row>
    <row r="853" spans="2:3" x14ac:dyDescent="0.2">
      <c r="B853"/>
      <c r="C853"/>
    </row>
    <row r="854" spans="2:3" x14ac:dyDescent="0.2">
      <c r="B854"/>
      <c r="C854"/>
    </row>
    <row r="855" spans="2:3" x14ac:dyDescent="0.2">
      <c r="B855"/>
      <c r="C855"/>
    </row>
    <row r="856" spans="2:3" x14ac:dyDescent="0.2">
      <c r="B856"/>
      <c r="C856"/>
    </row>
    <row r="857" spans="2:3" x14ac:dyDescent="0.2">
      <c r="B857"/>
      <c r="C857"/>
    </row>
    <row r="858" spans="2:3" x14ac:dyDescent="0.2">
      <c r="B858"/>
      <c r="C858"/>
    </row>
    <row r="859" spans="2:3" x14ac:dyDescent="0.2">
      <c r="B859"/>
      <c r="C859"/>
    </row>
    <row r="860" spans="2:3" x14ac:dyDescent="0.2">
      <c r="B860"/>
      <c r="C860"/>
    </row>
    <row r="861" spans="2:3" x14ac:dyDescent="0.2">
      <c r="B861"/>
      <c r="C861"/>
    </row>
    <row r="862" spans="2:3" x14ac:dyDescent="0.2">
      <c r="B862"/>
      <c r="C862"/>
    </row>
    <row r="863" spans="2:3" x14ac:dyDescent="0.2">
      <c r="B863"/>
      <c r="C863"/>
    </row>
    <row r="864" spans="2:3" x14ac:dyDescent="0.2">
      <c r="B864"/>
      <c r="C864"/>
    </row>
    <row r="865" spans="2:3" x14ac:dyDescent="0.2">
      <c r="B865"/>
      <c r="C865"/>
    </row>
    <row r="866" spans="2:3" x14ac:dyDescent="0.2">
      <c r="B866"/>
      <c r="C866"/>
    </row>
    <row r="867" spans="2:3" x14ac:dyDescent="0.2">
      <c r="B867"/>
      <c r="C867"/>
    </row>
    <row r="868" spans="2:3" x14ac:dyDescent="0.2">
      <c r="B868"/>
      <c r="C868"/>
    </row>
    <row r="869" spans="2:3" x14ac:dyDescent="0.2">
      <c r="B869"/>
      <c r="C869"/>
    </row>
    <row r="870" spans="2:3" x14ac:dyDescent="0.2">
      <c r="B870"/>
      <c r="C870"/>
    </row>
    <row r="871" spans="2:3" x14ac:dyDescent="0.2">
      <c r="B871"/>
      <c r="C871"/>
    </row>
    <row r="872" spans="2:3" x14ac:dyDescent="0.2">
      <c r="B872"/>
      <c r="C872"/>
    </row>
    <row r="873" spans="2:3" x14ac:dyDescent="0.2">
      <c r="B873"/>
      <c r="C873"/>
    </row>
    <row r="874" spans="2:3" x14ac:dyDescent="0.2">
      <c r="B874"/>
      <c r="C874"/>
    </row>
    <row r="875" spans="2:3" x14ac:dyDescent="0.2">
      <c r="B875"/>
      <c r="C875"/>
    </row>
    <row r="876" spans="2:3" x14ac:dyDescent="0.2">
      <c r="B876"/>
      <c r="C876"/>
    </row>
    <row r="877" spans="2:3" x14ac:dyDescent="0.2">
      <c r="B877"/>
      <c r="C877"/>
    </row>
    <row r="878" spans="2:3" x14ac:dyDescent="0.2">
      <c r="B878"/>
      <c r="C878"/>
    </row>
    <row r="879" spans="2:3" x14ac:dyDescent="0.2">
      <c r="B879"/>
      <c r="C879"/>
    </row>
    <row r="880" spans="2:3" x14ac:dyDescent="0.2">
      <c r="B880"/>
      <c r="C880"/>
    </row>
    <row r="881" spans="2:3" x14ac:dyDescent="0.2">
      <c r="B881"/>
      <c r="C881"/>
    </row>
    <row r="882" spans="2:3" x14ac:dyDescent="0.2">
      <c r="B882"/>
      <c r="C882"/>
    </row>
    <row r="883" spans="2:3" x14ac:dyDescent="0.2">
      <c r="B883"/>
      <c r="C883"/>
    </row>
    <row r="884" spans="2:3" x14ac:dyDescent="0.2">
      <c r="B884"/>
      <c r="C884"/>
    </row>
    <row r="885" spans="2:3" x14ac:dyDescent="0.2">
      <c r="B885"/>
      <c r="C885"/>
    </row>
    <row r="886" spans="2:3" x14ac:dyDescent="0.2">
      <c r="B886"/>
      <c r="C886"/>
    </row>
    <row r="887" spans="2:3" x14ac:dyDescent="0.2">
      <c r="B887"/>
      <c r="C887"/>
    </row>
    <row r="888" spans="2:3" x14ac:dyDescent="0.2">
      <c r="B888"/>
      <c r="C888"/>
    </row>
    <row r="889" spans="2:3" x14ac:dyDescent="0.2">
      <c r="B889"/>
      <c r="C889"/>
    </row>
    <row r="890" spans="2:3" x14ac:dyDescent="0.2">
      <c r="B890"/>
      <c r="C890"/>
    </row>
    <row r="891" spans="2:3" x14ac:dyDescent="0.2">
      <c r="B891"/>
      <c r="C891"/>
    </row>
    <row r="892" spans="2:3" x14ac:dyDescent="0.2">
      <c r="B892"/>
      <c r="C892"/>
    </row>
    <row r="893" spans="2:3" x14ac:dyDescent="0.2">
      <c r="B893"/>
      <c r="C893"/>
    </row>
    <row r="894" spans="2:3" x14ac:dyDescent="0.2">
      <c r="B894"/>
      <c r="C894"/>
    </row>
    <row r="895" spans="2:3" x14ac:dyDescent="0.2">
      <c r="B895"/>
      <c r="C895"/>
    </row>
    <row r="896" spans="2:3" x14ac:dyDescent="0.2">
      <c r="B896"/>
      <c r="C896"/>
    </row>
    <row r="897" spans="2:3" x14ac:dyDescent="0.2">
      <c r="B897"/>
      <c r="C897"/>
    </row>
    <row r="898" spans="2:3" x14ac:dyDescent="0.2">
      <c r="B898"/>
      <c r="C898"/>
    </row>
    <row r="899" spans="2:3" x14ac:dyDescent="0.2">
      <c r="B899"/>
      <c r="C899"/>
    </row>
    <row r="900" spans="2:3" x14ac:dyDescent="0.2">
      <c r="B900"/>
      <c r="C900"/>
    </row>
    <row r="901" spans="2:3" x14ac:dyDescent="0.2">
      <c r="B901"/>
      <c r="C901"/>
    </row>
    <row r="902" spans="2:3" x14ac:dyDescent="0.2">
      <c r="B902"/>
      <c r="C902"/>
    </row>
    <row r="903" spans="2:3" x14ac:dyDescent="0.2">
      <c r="B903"/>
      <c r="C903"/>
    </row>
    <row r="904" spans="2:3" x14ac:dyDescent="0.2">
      <c r="B904"/>
      <c r="C904"/>
    </row>
    <row r="905" spans="2:3" x14ac:dyDescent="0.2">
      <c r="B905"/>
      <c r="C905"/>
    </row>
    <row r="906" spans="2:3" x14ac:dyDescent="0.2">
      <c r="B906"/>
      <c r="C906"/>
    </row>
    <row r="907" spans="2:3" x14ac:dyDescent="0.2">
      <c r="B907"/>
      <c r="C907"/>
    </row>
    <row r="908" spans="2:3" x14ac:dyDescent="0.2">
      <c r="B908"/>
      <c r="C908"/>
    </row>
    <row r="909" spans="2:3" x14ac:dyDescent="0.2">
      <c r="B909"/>
      <c r="C909"/>
    </row>
    <row r="910" spans="2:3" x14ac:dyDescent="0.2">
      <c r="B910"/>
      <c r="C910"/>
    </row>
    <row r="911" spans="2:3" x14ac:dyDescent="0.2">
      <c r="B911"/>
      <c r="C911"/>
    </row>
    <row r="912" spans="2:3" x14ac:dyDescent="0.2">
      <c r="B912"/>
      <c r="C912"/>
    </row>
    <row r="913" spans="2:3" x14ac:dyDescent="0.2">
      <c r="B913"/>
      <c r="C913"/>
    </row>
    <row r="914" spans="2:3" x14ac:dyDescent="0.2">
      <c r="B914"/>
      <c r="C914"/>
    </row>
    <row r="915" spans="2:3" x14ac:dyDescent="0.2">
      <c r="B915"/>
      <c r="C915"/>
    </row>
    <row r="916" spans="2:3" x14ac:dyDescent="0.2">
      <c r="B916"/>
      <c r="C916"/>
    </row>
    <row r="917" spans="2:3" x14ac:dyDescent="0.2">
      <c r="B917"/>
      <c r="C917"/>
    </row>
    <row r="918" spans="2:3" x14ac:dyDescent="0.2">
      <c r="B918"/>
      <c r="C918"/>
    </row>
    <row r="919" spans="2:3" x14ac:dyDescent="0.2">
      <c r="B919"/>
      <c r="C919"/>
    </row>
    <row r="920" spans="2:3" x14ac:dyDescent="0.2">
      <c r="B920"/>
      <c r="C920"/>
    </row>
    <row r="921" spans="2:3" x14ac:dyDescent="0.2">
      <c r="B921"/>
      <c r="C921"/>
    </row>
    <row r="922" spans="2:3" x14ac:dyDescent="0.2">
      <c r="B922"/>
      <c r="C922"/>
    </row>
    <row r="923" spans="2:3" x14ac:dyDescent="0.2">
      <c r="B923"/>
      <c r="C923"/>
    </row>
    <row r="924" spans="2:3" x14ac:dyDescent="0.2">
      <c r="B924"/>
      <c r="C924"/>
    </row>
    <row r="925" spans="2:3" x14ac:dyDescent="0.2">
      <c r="B925"/>
      <c r="C925"/>
    </row>
    <row r="926" spans="2:3" x14ac:dyDescent="0.2">
      <c r="B926"/>
      <c r="C926"/>
    </row>
    <row r="927" spans="2:3" x14ac:dyDescent="0.2">
      <c r="B927"/>
      <c r="C927"/>
    </row>
    <row r="928" spans="2:3" x14ac:dyDescent="0.2">
      <c r="B928"/>
      <c r="C928"/>
    </row>
    <row r="929" spans="2:3" x14ac:dyDescent="0.2">
      <c r="B929"/>
      <c r="C929"/>
    </row>
    <row r="930" spans="2:3" x14ac:dyDescent="0.2">
      <c r="B930"/>
      <c r="C930"/>
    </row>
    <row r="931" spans="2:3" x14ac:dyDescent="0.2">
      <c r="B931"/>
      <c r="C931"/>
    </row>
    <row r="932" spans="2:3" x14ac:dyDescent="0.2">
      <c r="B932"/>
      <c r="C932"/>
    </row>
    <row r="933" spans="2:3" x14ac:dyDescent="0.2">
      <c r="B933"/>
      <c r="C933"/>
    </row>
    <row r="934" spans="2:3" x14ac:dyDescent="0.2">
      <c r="B934"/>
      <c r="C934"/>
    </row>
    <row r="935" spans="2:3" x14ac:dyDescent="0.2">
      <c r="B935"/>
      <c r="C935"/>
    </row>
    <row r="936" spans="2:3" x14ac:dyDescent="0.2">
      <c r="B936"/>
      <c r="C936"/>
    </row>
    <row r="937" spans="2:3" x14ac:dyDescent="0.2">
      <c r="B937"/>
      <c r="C937"/>
    </row>
    <row r="938" spans="2:3" x14ac:dyDescent="0.2">
      <c r="B938"/>
      <c r="C938"/>
    </row>
    <row r="939" spans="2:3" x14ac:dyDescent="0.2">
      <c r="B939"/>
      <c r="C939"/>
    </row>
    <row r="940" spans="2:3" x14ac:dyDescent="0.2">
      <c r="B940"/>
      <c r="C940"/>
    </row>
    <row r="941" spans="2:3" x14ac:dyDescent="0.2">
      <c r="B941"/>
      <c r="C941"/>
    </row>
    <row r="942" spans="2:3" x14ac:dyDescent="0.2">
      <c r="B942"/>
      <c r="C942"/>
    </row>
    <row r="943" spans="2:3" x14ac:dyDescent="0.2">
      <c r="B943"/>
      <c r="C943"/>
    </row>
    <row r="944" spans="2:3" x14ac:dyDescent="0.2">
      <c r="B944"/>
      <c r="C944"/>
    </row>
    <row r="945" spans="2:3" x14ac:dyDescent="0.2">
      <c r="B945"/>
      <c r="C945"/>
    </row>
    <row r="946" spans="2:3" x14ac:dyDescent="0.2">
      <c r="B946"/>
      <c r="C946"/>
    </row>
    <row r="947" spans="2:3" x14ac:dyDescent="0.2">
      <c r="B947"/>
      <c r="C947"/>
    </row>
    <row r="948" spans="2:3" x14ac:dyDescent="0.2">
      <c r="B948"/>
      <c r="C948"/>
    </row>
    <row r="949" spans="2:3" x14ac:dyDescent="0.2">
      <c r="B949"/>
      <c r="C949"/>
    </row>
    <row r="950" spans="2:3" x14ac:dyDescent="0.2">
      <c r="B950"/>
      <c r="C950"/>
    </row>
    <row r="951" spans="2:3" x14ac:dyDescent="0.2">
      <c r="B951"/>
      <c r="C951"/>
    </row>
    <row r="952" spans="2:3" x14ac:dyDescent="0.2">
      <c r="B952"/>
      <c r="C952"/>
    </row>
    <row r="953" spans="2:3" x14ac:dyDescent="0.2">
      <c r="B953"/>
      <c r="C953"/>
    </row>
    <row r="954" spans="2:3" x14ac:dyDescent="0.2">
      <c r="B954"/>
      <c r="C954"/>
    </row>
    <row r="955" spans="2:3" x14ac:dyDescent="0.2">
      <c r="B955"/>
      <c r="C955"/>
    </row>
    <row r="956" spans="2:3" x14ac:dyDescent="0.2">
      <c r="B956"/>
      <c r="C956"/>
    </row>
    <row r="957" spans="2:3" x14ac:dyDescent="0.2">
      <c r="B957"/>
      <c r="C957"/>
    </row>
    <row r="958" spans="2:3" x14ac:dyDescent="0.2">
      <c r="B958"/>
      <c r="C958"/>
    </row>
    <row r="959" spans="2:3" x14ac:dyDescent="0.2">
      <c r="B959"/>
      <c r="C959"/>
    </row>
    <row r="960" spans="2:3" x14ac:dyDescent="0.2">
      <c r="B960"/>
      <c r="C960"/>
    </row>
    <row r="961" spans="2:3" x14ac:dyDescent="0.2">
      <c r="B961"/>
      <c r="C961"/>
    </row>
    <row r="962" spans="2:3" x14ac:dyDescent="0.2">
      <c r="B962"/>
      <c r="C962"/>
    </row>
    <row r="963" spans="2:3" x14ac:dyDescent="0.2">
      <c r="B963"/>
      <c r="C963"/>
    </row>
    <row r="964" spans="2:3" x14ac:dyDescent="0.2">
      <c r="B964"/>
      <c r="C964"/>
    </row>
    <row r="965" spans="2:3" x14ac:dyDescent="0.2">
      <c r="B965"/>
      <c r="C965"/>
    </row>
    <row r="966" spans="2:3" x14ac:dyDescent="0.2">
      <c r="B966"/>
      <c r="C966"/>
    </row>
    <row r="967" spans="2:3" x14ac:dyDescent="0.2">
      <c r="B967"/>
      <c r="C967"/>
    </row>
    <row r="968" spans="2:3" x14ac:dyDescent="0.2">
      <c r="B968"/>
      <c r="C968"/>
    </row>
    <row r="969" spans="2:3" x14ac:dyDescent="0.2">
      <c r="B969"/>
      <c r="C969"/>
    </row>
    <row r="970" spans="2:3" x14ac:dyDescent="0.2">
      <c r="B970"/>
      <c r="C970"/>
    </row>
    <row r="971" spans="2:3" x14ac:dyDescent="0.2">
      <c r="B971"/>
      <c r="C971"/>
    </row>
    <row r="972" spans="2:3" x14ac:dyDescent="0.2">
      <c r="B972"/>
      <c r="C972"/>
    </row>
    <row r="973" spans="2:3" x14ac:dyDescent="0.2">
      <c r="B973"/>
      <c r="C973"/>
    </row>
    <row r="974" spans="2:3" x14ac:dyDescent="0.2">
      <c r="B974"/>
      <c r="C974"/>
    </row>
    <row r="975" spans="2:3" x14ac:dyDescent="0.2">
      <c r="B975"/>
      <c r="C975"/>
    </row>
    <row r="976" spans="2:3" x14ac:dyDescent="0.2">
      <c r="B976"/>
      <c r="C976"/>
    </row>
    <row r="977" spans="2:3" x14ac:dyDescent="0.2">
      <c r="B977"/>
      <c r="C977"/>
    </row>
    <row r="978" spans="2:3" x14ac:dyDescent="0.2">
      <c r="B978"/>
      <c r="C978"/>
    </row>
    <row r="979" spans="2:3" x14ac:dyDescent="0.2">
      <c r="B979"/>
      <c r="C979"/>
    </row>
    <row r="980" spans="2:3" x14ac:dyDescent="0.2">
      <c r="B980"/>
      <c r="C980"/>
    </row>
    <row r="981" spans="2:3" x14ac:dyDescent="0.2">
      <c r="B981"/>
      <c r="C981"/>
    </row>
    <row r="982" spans="2:3" x14ac:dyDescent="0.2">
      <c r="B982"/>
      <c r="C982"/>
    </row>
    <row r="983" spans="2:3" x14ac:dyDescent="0.2">
      <c r="B983"/>
      <c r="C983"/>
    </row>
    <row r="984" spans="2:3" x14ac:dyDescent="0.2">
      <c r="B984"/>
      <c r="C984"/>
    </row>
    <row r="985" spans="2:3" x14ac:dyDescent="0.2">
      <c r="B985"/>
      <c r="C985"/>
    </row>
    <row r="986" spans="2:3" x14ac:dyDescent="0.2">
      <c r="B986"/>
      <c r="C986"/>
    </row>
    <row r="987" spans="2:3" x14ac:dyDescent="0.2">
      <c r="B987"/>
      <c r="C987"/>
    </row>
    <row r="988" spans="2:3" x14ac:dyDescent="0.2">
      <c r="B988"/>
      <c r="C988"/>
    </row>
    <row r="989" spans="2:3" x14ac:dyDescent="0.2">
      <c r="B989"/>
      <c r="C989"/>
    </row>
    <row r="990" spans="2:3" x14ac:dyDescent="0.2">
      <c r="B990"/>
      <c r="C990"/>
    </row>
    <row r="991" spans="2:3" x14ac:dyDescent="0.2">
      <c r="B991"/>
      <c r="C991"/>
    </row>
    <row r="992" spans="2:3" x14ac:dyDescent="0.2">
      <c r="B992"/>
      <c r="C992"/>
    </row>
    <row r="993" spans="2:3" x14ac:dyDescent="0.2">
      <c r="B993"/>
      <c r="C993"/>
    </row>
    <row r="994" spans="2:3" x14ac:dyDescent="0.2">
      <c r="B994"/>
      <c r="C994"/>
    </row>
    <row r="995" spans="2:3" x14ac:dyDescent="0.2">
      <c r="B995"/>
      <c r="C995"/>
    </row>
    <row r="996" spans="2:3" x14ac:dyDescent="0.2">
      <c r="B996"/>
      <c r="C996"/>
    </row>
    <row r="997" spans="2:3" x14ac:dyDescent="0.2">
      <c r="B997"/>
      <c r="C997"/>
    </row>
    <row r="998" spans="2:3" x14ac:dyDescent="0.2">
      <c r="B998"/>
      <c r="C998"/>
    </row>
    <row r="999" spans="2:3" x14ac:dyDescent="0.2">
      <c r="B999"/>
      <c r="C999"/>
    </row>
    <row r="1000" spans="2:3" x14ac:dyDescent="0.2">
      <c r="B1000"/>
      <c r="C1000"/>
    </row>
    <row r="1001" spans="2:3" x14ac:dyDescent="0.2">
      <c r="B1001"/>
      <c r="C1001"/>
    </row>
    <row r="1002" spans="2:3" x14ac:dyDescent="0.2">
      <c r="B1002"/>
      <c r="C1002"/>
    </row>
    <row r="1003" spans="2:3" x14ac:dyDescent="0.2">
      <c r="B1003"/>
      <c r="C1003"/>
    </row>
    <row r="1004" spans="2:3" x14ac:dyDescent="0.2">
      <c r="B1004"/>
      <c r="C1004"/>
    </row>
    <row r="1005" spans="2:3" x14ac:dyDescent="0.2">
      <c r="B1005"/>
      <c r="C1005"/>
    </row>
    <row r="1006" spans="2:3" x14ac:dyDescent="0.2">
      <c r="B1006"/>
      <c r="C1006"/>
    </row>
    <row r="1007" spans="2:3" x14ac:dyDescent="0.2">
      <c r="B1007"/>
      <c r="C1007"/>
    </row>
    <row r="1008" spans="2:3" x14ac:dyDescent="0.2">
      <c r="B1008"/>
      <c r="C1008"/>
    </row>
    <row r="1009" spans="2:3" x14ac:dyDescent="0.2">
      <c r="B1009"/>
      <c r="C1009"/>
    </row>
    <row r="1010" spans="2:3" x14ac:dyDescent="0.2">
      <c r="B1010"/>
      <c r="C1010"/>
    </row>
    <row r="1011" spans="2:3" x14ac:dyDescent="0.2">
      <c r="B1011"/>
      <c r="C1011"/>
    </row>
    <row r="1012" spans="2:3" x14ac:dyDescent="0.2">
      <c r="B1012"/>
      <c r="C1012"/>
    </row>
    <row r="1013" spans="2:3" x14ac:dyDescent="0.2">
      <c r="B1013"/>
      <c r="C1013"/>
    </row>
    <row r="1014" spans="2:3" x14ac:dyDescent="0.2">
      <c r="B1014"/>
      <c r="C1014"/>
    </row>
    <row r="1015" spans="2:3" x14ac:dyDescent="0.2">
      <c r="B1015"/>
      <c r="C1015"/>
    </row>
    <row r="1016" spans="2:3" x14ac:dyDescent="0.2">
      <c r="B1016"/>
      <c r="C1016"/>
    </row>
    <row r="1017" spans="2:3" x14ac:dyDescent="0.2">
      <c r="B1017"/>
      <c r="C1017"/>
    </row>
    <row r="1018" spans="2:3" x14ac:dyDescent="0.2">
      <c r="B1018"/>
      <c r="C1018"/>
    </row>
    <row r="1019" spans="2:3" x14ac:dyDescent="0.2">
      <c r="B1019"/>
      <c r="C1019"/>
    </row>
    <row r="1020" spans="2:3" x14ac:dyDescent="0.2">
      <c r="B1020"/>
      <c r="C1020"/>
    </row>
    <row r="1021" spans="2:3" x14ac:dyDescent="0.2">
      <c r="B1021"/>
      <c r="C1021"/>
    </row>
    <row r="1022" spans="2:3" x14ac:dyDescent="0.2">
      <c r="B1022"/>
      <c r="C1022"/>
    </row>
    <row r="1023" spans="2:3" x14ac:dyDescent="0.2">
      <c r="B1023"/>
      <c r="C1023"/>
    </row>
    <row r="1024" spans="2:3" x14ac:dyDescent="0.2">
      <c r="B1024"/>
      <c r="C1024"/>
    </row>
    <row r="1025" spans="2:3" x14ac:dyDescent="0.2">
      <c r="B1025"/>
      <c r="C1025"/>
    </row>
    <row r="1026" spans="2:3" x14ac:dyDescent="0.2">
      <c r="B1026"/>
      <c r="C1026"/>
    </row>
    <row r="1027" spans="2:3" x14ac:dyDescent="0.2">
      <c r="B1027"/>
      <c r="C1027"/>
    </row>
    <row r="1028" spans="2:3" x14ac:dyDescent="0.2">
      <c r="B1028"/>
      <c r="C1028"/>
    </row>
    <row r="1029" spans="2:3" x14ac:dyDescent="0.2">
      <c r="B1029"/>
      <c r="C1029"/>
    </row>
    <row r="1030" spans="2:3" x14ac:dyDescent="0.2">
      <c r="B1030"/>
      <c r="C1030"/>
    </row>
    <row r="1031" spans="2:3" x14ac:dyDescent="0.2">
      <c r="B1031"/>
      <c r="C1031"/>
    </row>
    <row r="1032" spans="2:3" x14ac:dyDescent="0.2">
      <c r="B1032"/>
      <c r="C1032"/>
    </row>
    <row r="1033" spans="2:3" x14ac:dyDescent="0.2">
      <c r="B1033"/>
      <c r="C1033"/>
    </row>
    <row r="1034" spans="2:3" x14ac:dyDescent="0.2">
      <c r="B1034"/>
      <c r="C1034"/>
    </row>
    <row r="1035" spans="2:3" x14ac:dyDescent="0.2">
      <c r="B1035"/>
      <c r="C1035"/>
    </row>
    <row r="1036" spans="2:3" x14ac:dyDescent="0.2">
      <c r="B1036"/>
      <c r="C1036"/>
    </row>
    <row r="1037" spans="2:3" x14ac:dyDescent="0.2">
      <c r="B1037"/>
      <c r="C1037"/>
    </row>
    <row r="1038" spans="2:3" x14ac:dyDescent="0.2">
      <c r="B1038"/>
      <c r="C1038"/>
    </row>
    <row r="1039" spans="2:3" x14ac:dyDescent="0.2">
      <c r="B1039"/>
      <c r="C1039"/>
    </row>
    <row r="1040" spans="2:3" x14ac:dyDescent="0.2">
      <c r="B1040"/>
      <c r="C1040"/>
    </row>
    <row r="1041" spans="2:3" x14ac:dyDescent="0.2">
      <c r="B1041"/>
      <c r="C1041"/>
    </row>
    <row r="1042" spans="2:3" x14ac:dyDescent="0.2">
      <c r="B1042"/>
      <c r="C1042"/>
    </row>
    <row r="1043" spans="2:3" x14ac:dyDescent="0.2">
      <c r="B1043"/>
      <c r="C1043"/>
    </row>
    <row r="1044" spans="2:3" x14ac:dyDescent="0.2">
      <c r="B1044"/>
      <c r="C1044"/>
    </row>
    <row r="1045" spans="2:3" x14ac:dyDescent="0.2">
      <c r="B1045"/>
      <c r="C1045"/>
    </row>
    <row r="1046" spans="2:3" x14ac:dyDescent="0.2">
      <c r="B1046"/>
      <c r="C1046"/>
    </row>
    <row r="1047" spans="2:3" x14ac:dyDescent="0.2">
      <c r="B1047"/>
      <c r="C1047"/>
    </row>
    <row r="1048" spans="2:3" x14ac:dyDescent="0.2">
      <c r="B1048"/>
      <c r="C1048"/>
    </row>
    <row r="1049" spans="2:3" x14ac:dyDescent="0.2">
      <c r="B1049"/>
      <c r="C1049"/>
    </row>
    <row r="1050" spans="2:3" x14ac:dyDescent="0.2">
      <c r="B1050"/>
      <c r="C1050"/>
    </row>
    <row r="1051" spans="2:3" x14ac:dyDescent="0.2">
      <c r="B1051"/>
      <c r="C1051"/>
    </row>
    <row r="1052" spans="2:3" x14ac:dyDescent="0.2">
      <c r="B1052"/>
      <c r="C1052"/>
    </row>
    <row r="1053" spans="2:3" x14ac:dyDescent="0.2">
      <c r="B1053"/>
      <c r="C1053"/>
    </row>
    <row r="1054" spans="2:3" x14ac:dyDescent="0.2">
      <c r="B1054"/>
      <c r="C1054"/>
    </row>
    <row r="1055" spans="2:3" x14ac:dyDescent="0.2">
      <c r="B1055"/>
      <c r="C1055"/>
    </row>
    <row r="1056" spans="2:3" x14ac:dyDescent="0.2">
      <c r="B1056"/>
      <c r="C1056"/>
    </row>
    <row r="1057" spans="2:3" x14ac:dyDescent="0.2">
      <c r="B1057"/>
      <c r="C1057"/>
    </row>
  </sheetData>
  <pageMargins left="0.6" right="0.6" top="1" bottom="1" header="0.5" footer="0.5"/>
  <pageSetup orientation="landscape" r:id="rId1"/>
  <headerFooter>
    <oddHeader>&amp;RDraft - Work in Progress</oddHeader>
    <oddFooter>&amp;L&amp;F
&amp;D, &amp;T&amp;C
Page &amp;P of &amp;N&amp;R&amp;A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Props1.xml><?xml version="1.0" encoding="utf-8"?>
<ds:datastoreItem xmlns:ds="http://schemas.openxmlformats.org/officeDocument/2006/customXml" ds:itemID="{6DC429B5-061C-4930-981F-476947AADAC1}">
  <ds:schemaRefs/>
</ds:datastoreItem>
</file>

<file path=customXml/itemProps2.xml><?xml version="1.0" encoding="utf-8"?>
<ds:datastoreItem xmlns:ds="http://schemas.openxmlformats.org/officeDocument/2006/customXml" ds:itemID="{CEE2161C-7A15-43F9-8E81-E707BDE81693}">
  <ds:schemaRefs/>
</ds:datastoreItem>
</file>

<file path=customXml/itemProps3.xml><?xml version="1.0" encoding="utf-8"?>
<ds:datastoreItem xmlns:ds="http://schemas.openxmlformats.org/officeDocument/2006/customXml" ds:itemID="{0AD9A107-3D0E-41A5-8C61-F3D858ACCA85}">
  <ds:schemaRefs/>
</ds:datastoreItem>
</file>

<file path=customXml/itemProps4.xml><?xml version="1.0" encoding="utf-8"?>
<ds:datastoreItem xmlns:ds="http://schemas.openxmlformats.org/officeDocument/2006/customXml" ds:itemID="{5ECDE536-050A-4EA7-ABFF-B69CE7CD9D9F}">
  <ds:schemaRefs/>
</ds:datastoreItem>
</file>

<file path=customXml/itemProps5.xml><?xml version="1.0" encoding="utf-8"?>
<ds:datastoreItem xmlns:ds="http://schemas.openxmlformats.org/officeDocument/2006/customXml" ds:itemID="{5DFB566E-56FB-454F-AE1B-BCA913ADDA13}">
  <ds:schemaRefs/>
</ds:datastoreItem>
</file>

<file path=customXml/itemProps6.xml><?xml version="1.0" encoding="utf-8"?>
<ds:datastoreItem xmlns:ds="http://schemas.openxmlformats.org/officeDocument/2006/customXml" ds:itemID="{03A80861-29FA-43BF-81F1-F18BE94C3F9B}">
  <ds:schemaRefs/>
</ds:datastoreItem>
</file>

<file path=customXml/itemProps7.xml><?xml version="1.0" encoding="utf-8"?>
<ds:datastoreItem xmlns:ds="http://schemas.openxmlformats.org/officeDocument/2006/customXml" ds:itemID="{0A4EE851-80BE-4E01-B9AA-02118C40D527}">
  <ds:schemaRefs/>
</ds:datastoreItem>
</file>

<file path=customXml/itemProps8.xml><?xml version="1.0" encoding="utf-8"?>
<ds:datastoreItem xmlns:ds="http://schemas.openxmlformats.org/officeDocument/2006/customXml" ds:itemID="{3D49999E-FE67-4B29-8315-41B6D4A873DA}">
  <ds:schemaRefs/>
</ds:datastoreItem>
</file>

<file path=customXml/itemProps9.xml><?xml version="1.0" encoding="utf-8"?>
<ds:datastoreItem xmlns:ds="http://schemas.openxmlformats.org/officeDocument/2006/customXml" ds:itemID="{F9BE52E9-BF8B-43D5-B283-FF2EBE89564A}">
  <ds:schemaRefs/>
</ds:datastoreItem>
</file>

<file path=customXml/itemProps10.xml><?xml version="1.0" encoding="utf-8"?>
<ds:datastoreItem xmlns:ds="http://schemas.openxmlformats.org/officeDocument/2006/customXml" ds:itemID="{3D13AF82-6CB3-4582-B2A9-56ED5C97C091}">
  <ds:schemaRefs/>
</ds:datastoreItem>
</file>

<file path=customXml/itemProps11.xml><?xml version="1.0" encoding="utf-8"?>
<ds:datastoreItem xmlns:ds="http://schemas.openxmlformats.org/officeDocument/2006/customXml" ds:itemID="{84316677-0B97-475C-A198-664C61161B1A}">
  <ds:schemaRefs/>
</ds:datastoreItem>
</file>

<file path=customXml/itemProps12.xml><?xml version="1.0" encoding="utf-8"?>
<ds:datastoreItem xmlns:ds="http://schemas.openxmlformats.org/officeDocument/2006/customXml" ds:itemID="{D14EB6A1-0972-4A70-A6A2-D5004390E842}">
  <ds:schemaRefs/>
</ds:datastoreItem>
</file>

<file path=customXml/itemProps13.xml><?xml version="1.0" encoding="utf-8"?>
<ds:datastoreItem xmlns:ds="http://schemas.openxmlformats.org/officeDocument/2006/customXml" ds:itemID="{53215AEB-4177-4680-804F-4A40B97908E6}">
  <ds:schemaRefs/>
</ds:datastoreItem>
</file>

<file path=customXml/itemProps14.xml><?xml version="1.0" encoding="utf-8"?>
<ds:datastoreItem xmlns:ds="http://schemas.openxmlformats.org/officeDocument/2006/customXml" ds:itemID="{F79FEA4C-3DF2-47C3-8533-756EFB95F95E}">
  <ds:schemaRefs/>
</ds:datastoreItem>
</file>

<file path=customXml/itemProps15.xml><?xml version="1.0" encoding="utf-8"?>
<ds:datastoreItem xmlns:ds="http://schemas.openxmlformats.org/officeDocument/2006/customXml" ds:itemID="{3A8B8B94-88D4-4FAE-BA37-B1C986E1E4D6}">
  <ds:schemaRefs/>
</ds:datastoreItem>
</file>

<file path=customXml/itemProps16.xml><?xml version="1.0" encoding="utf-8"?>
<ds:datastoreItem xmlns:ds="http://schemas.openxmlformats.org/officeDocument/2006/customXml" ds:itemID="{03AA474E-BF7E-4678-88F5-AF2F90C8EAF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Summary</vt:lpstr>
      <vt:lpstr>Graphs</vt:lpstr>
      <vt:lpstr>Model</vt:lpstr>
      <vt:lpstr>Revenue</vt:lpstr>
      <vt:lpstr>HC</vt:lpstr>
      <vt:lpstr>Support&gt;&gt;</vt:lpstr>
      <vt:lpstr>PIVOT (2)</vt:lpstr>
      <vt:lpstr>PIVOT</vt:lpstr>
      <vt:lpstr>Raw Sales Data</vt:lpstr>
      <vt:lpstr>Deal Size Analysis</vt:lpstr>
      <vt:lpstr>Historical_On?</vt:lpstr>
      <vt:lpstr>Historical_Perf_Avg?</vt:lpstr>
      <vt:lpstr>Historical_Perf_Exact?</vt:lpstr>
      <vt:lpstr>S2_On?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Caleb Hill</dc:creator>
  <cp:lastModifiedBy>Microsoft Office User</cp:lastModifiedBy>
  <dcterms:created xsi:type="dcterms:W3CDTF">2015-07-23T20:26:40Z</dcterms:created>
  <dcterms:modified xsi:type="dcterms:W3CDTF">2020-07-02T17:06:15Z</dcterms:modified>
</cp:coreProperties>
</file>